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hubbardresearch0.sharepoint.com/sites/HTMAPMBook/Shared Documents/General/Chapters/Spreadsheets for Website/"/>
    </mc:Choice>
  </mc:AlternateContent>
  <xr:revisionPtr revIDLastSave="1268" documentId="8_{A0C6DAFF-50FA-4FF0-885B-78F5EF8D7AC9}" xr6:coauthVersionLast="47" xr6:coauthVersionMax="47" xr10:uidLastSave="{53DF2FBE-20E3-4C4C-81E5-16F34F7F51F0}"/>
  <bookViews>
    <workbookView xWindow="7284" yWindow="948" windowWidth="20772" windowHeight="11772" xr2:uid="{00000000-000D-0000-FFFF-FFFF00000000}"/>
  </bookViews>
  <sheets>
    <sheet name="Data" sheetId="1" r:id="rId1"/>
    <sheet name="Analysis" sheetId="2" r:id="rId2"/>
    <sheet name="Decisions" sheetId="4" r:id="rId3"/>
    <sheet name="Evaluation" sheetId="6" r:id="rId4"/>
  </sheets>
  <definedNames>
    <definedName name="Active_Node">Decisions!$B$4</definedName>
    <definedName name="Best_Predictor">Decisions!$B$6</definedName>
    <definedName name="Best_Spec_Category">Decisions!$B$7</definedName>
    <definedName name="Best_Threshold">Decisions!$B$8</definedName>
    <definedName name="Bud">Evaluation!$P$5</definedName>
    <definedName name="Child_Node_Metrics__live_for_first_split">Decisions!$B$10</definedName>
    <definedName name="Dur">Evaluation!$P$6</definedName>
    <definedName name="False_Negative">Evaluation!$G$7</definedName>
    <definedName name="False_Positive">Evaluation!$G$6</definedName>
    <definedName name="GiniParent">Analysis!$B$9</definedName>
    <definedName name="Left_Majority">Decisions!$B$13</definedName>
    <definedName name="Left_N">Decisions!$B$11</definedName>
    <definedName name="left_pred">Decisions!$F$11</definedName>
    <definedName name="left_thresh">Decisions!$F$12</definedName>
    <definedName name="Left_Y">Decisions!$B$12</definedName>
    <definedName name="Np">Analysis!$B$7</definedName>
    <definedName name="Np_Yes">Analysis!$B$8</definedName>
    <definedName name="Right_Majority">Decisions!$B$16</definedName>
    <definedName name="Right_N">Decisions!$B$14</definedName>
    <definedName name="right_pred">Decisions!$F$14</definedName>
    <definedName name="right_thresh">Decisions!$F$15</definedName>
    <definedName name="Right_Y">Decisions!$B$15</definedName>
    <definedName name="Root">Decisions!$B$5:$B$16</definedName>
    <definedName name="root_pred">Decisions!$F$8</definedName>
    <definedName name="root_thresh">Decisions!$F$9</definedName>
    <definedName name="Sched">Evaluation!$P$8</definedName>
    <definedName name="Size">Evaluation!$P$7</definedName>
    <definedName name="True_Negative">Evaluation!$D$7</definedName>
    <definedName name="True_Positive">Evaluation!$D$6</definedName>
    <definedName name="Turn">Evaluation!$P$9</definedName>
    <definedName name="Type">Evaluation!$P$10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 i="2" l="1"/>
  <c r="K28" i="6"/>
  <c r="I8" i="6"/>
  <c r="I17" i="6" s="1"/>
  <c r="J115" i="1"/>
  <c r="I115" i="1" s="1"/>
  <c r="J116" i="1"/>
  <c r="I116" i="1" s="1"/>
  <c r="J117" i="1"/>
  <c r="I117" i="1" s="1"/>
  <c r="J118" i="1"/>
  <c r="I118" i="1" s="1"/>
  <c r="J119" i="1"/>
  <c r="I119" i="1" s="1"/>
  <c r="J120" i="1"/>
  <c r="I120" i="1" s="1"/>
  <c r="J121" i="1"/>
  <c r="I121" i="1" s="1"/>
  <c r="J122" i="1"/>
  <c r="I122" i="1" s="1"/>
  <c r="J123" i="1"/>
  <c r="I123" i="1" s="1"/>
  <c r="J124" i="1"/>
  <c r="I124" i="1" s="1"/>
  <c r="J125" i="1"/>
  <c r="I125" i="1" s="1"/>
  <c r="J126" i="1"/>
  <c r="I126" i="1" s="1"/>
  <c r="J127" i="1"/>
  <c r="I127" i="1" s="1"/>
  <c r="J128" i="1"/>
  <c r="I128" i="1" s="1"/>
  <c r="J129" i="1"/>
  <c r="I129" i="1" s="1"/>
  <c r="J130" i="1"/>
  <c r="I130" i="1" s="1"/>
  <c r="J131" i="1"/>
  <c r="I131" i="1" s="1"/>
  <c r="J132" i="1"/>
  <c r="I132" i="1" s="1"/>
  <c r="J133" i="1"/>
  <c r="I133" i="1" s="1"/>
  <c r="J134" i="1"/>
  <c r="I134" i="1" s="1"/>
  <c r="J135" i="1"/>
  <c r="I135" i="1" s="1"/>
  <c r="J136" i="1"/>
  <c r="I136" i="1" s="1"/>
  <c r="J137" i="1"/>
  <c r="I137" i="1" s="1"/>
  <c r="J138" i="1"/>
  <c r="I138" i="1" s="1"/>
  <c r="J139" i="1"/>
  <c r="I139" i="1" s="1"/>
  <c r="J140" i="1"/>
  <c r="I140" i="1" s="1"/>
  <c r="J141" i="1"/>
  <c r="I141" i="1" s="1"/>
  <c r="J142" i="1"/>
  <c r="I142" i="1" s="1"/>
  <c r="J143" i="1"/>
  <c r="I143" i="1" s="1"/>
  <c r="J144" i="1"/>
  <c r="I144" i="1" s="1"/>
  <c r="J145" i="1"/>
  <c r="I145" i="1" s="1"/>
  <c r="J146" i="1"/>
  <c r="I146" i="1" s="1"/>
  <c r="J147" i="1"/>
  <c r="I147" i="1" s="1"/>
  <c r="J148" i="1"/>
  <c r="I148" i="1" s="1"/>
  <c r="J149" i="1"/>
  <c r="I149" i="1" s="1"/>
  <c r="J150" i="1"/>
  <c r="I150" i="1" s="1"/>
  <c r="J151" i="1"/>
  <c r="I151" i="1" s="1"/>
  <c r="J152" i="1"/>
  <c r="I152" i="1" s="1"/>
  <c r="J153" i="1"/>
  <c r="I153" i="1" s="1"/>
  <c r="J154" i="1"/>
  <c r="I154" i="1" s="1"/>
  <c r="J155" i="1"/>
  <c r="I155" i="1" s="1"/>
  <c r="J156" i="1"/>
  <c r="I156" i="1" s="1"/>
  <c r="J157" i="1"/>
  <c r="I157" i="1" s="1"/>
  <c r="J158" i="1"/>
  <c r="I158" i="1" s="1"/>
  <c r="J159" i="1"/>
  <c r="I159" i="1" s="1"/>
  <c r="J160" i="1"/>
  <c r="I160" i="1" s="1"/>
  <c r="J161" i="1"/>
  <c r="I161" i="1" s="1"/>
  <c r="J162" i="1"/>
  <c r="I162" i="1" s="1"/>
  <c r="J163" i="1"/>
  <c r="I163" i="1" s="1"/>
  <c r="J164" i="1"/>
  <c r="I164" i="1" s="1"/>
  <c r="J165" i="1"/>
  <c r="I165" i="1" s="1"/>
  <c r="J166" i="1"/>
  <c r="I166" i="1" s="1"/>
  <c r="J167" i="1"/>
  <c r="I167" i="1" s="1"/>
  <c r="J168" i="1"/>
  <c r="I168" i="1" s="1"/>
  <c r="J169" i="1"/>
  <c r="I169" i="1" s="1"/>
  <c r="J170" i="1"/>
  <c r="I170" i="1" s="1"/>
  <c r="J171" i="1"/>
  <c r="I171" i="1" s="1"/>
  <c r="J172" i="1"/>
  <c r="I172" i="1" s="1"/>
  <c r="J173" i="1"/>
  <c r="I173" i="1" s="1"/>
  <c r="J174" i="1"/>
  <c r="I174" i="1" s="1"/>
  <c r="J175" i="1"/>
  <c r="I175" i="1" s="1"/>
  <c r="J176" i="1"/>
  <c r="I176" i="1" s="1"/>
  <c r="J177" i="1"/>
  <c r="I177" i="1" s="1"/>
  <c r="J178" i="1"/>
  <c r="I178" i="1" s="1"/>
  <c r="J179" i="1"/>
  <c r="I179" i="1" s="1"/>
  <c r="J180" i="1"/>
  <c r="I180" i="1" s="1"/>
  <c r="J181" i="1"/>
  <c r="I181" i="1" s="1"/>
  <c r="J182" i="1"/>
  <c r="I182" i="1" s="1"/>
  <c r="J183" i="1"/>
  <c r="I183" i="1" s="1"/>
  <c r="J184" i="1"/>
  <c r="I184" i="1" s="1"/>
  <c r="J185" i="1"/>
  <c r="I185" i="1" s="1"/>
  <c r="J186" i="1"/>
  <c r="I186" i="1" s="1"/>
  <c r="J187" i="1"/>
  <c r="I187" i="1" s="1"/>
  <c r="J188" i="1"/>
  <c r="I188" i="1" s="1"/>
  <c r="J189" i="1"/>
  <c r="I189" i="1" s="1"/>
  <c r="J190" i="1"/>
  <c r="I190" i="1" s="1"/>
  <c r="J191" i="1"/>
  <c r="I191" i="1" s="1"/>
  <c r="J192" i="1"/>
  <c r="I192" i="1" s="1"/>
  <c r="J193" i="1"/>
  <c r="I193" i="1" s="1"/>
  <c r="J194" i="1"/>
  <c r="I194" i="1" s="1"/>
  <c r="J195" i="1"/>
  <c r="I195" i="1" s="1"/>
  <c r="J196" i="1"/>
  <c r="I196" i="1" s="1"/>
  <c r="J197" i="1"/>
  <c r="I197" i="1" s="1"/>
  <c r="J198" i="1"/>
  <c r="I198" i="1" s="1"/>
  <c r="J199" i="1"/>
  <c r="I199" i="1" s="1"/>
  <c r="J200" i="1"/>
  <c r="I200" i="1" s="1"/>
  <c r="J201" i="1"/>
  <c r="I201" i="1" s="1"/>
  <c r="J202" i="1"/>
  <c r="I202" i="1" s="1"/>
  <c r="J203" i="1"/>
  <c r="I203" i="1" s="1"/>
  <c r="J204" i="1"/>
  <c r="I204" i="1" s="1"/>
  <c r="J205" i="1"/>
  <c r="I205" i="1" s="1"/>
  <c r="J206" i="1"/>
  <c r="I206" i="1" s="1"/>
  <c r="J207" i="1"/>
  <c r="I207" i="1" s="1"/>
  <c r="J208" i="1"/>
  <c r="I208" i="1" s="1"/>
  <c r="J209" i="1"/>
  <c r="I209" i="1" s="1"/>
  <c r="J210" i="1"/>
  <c r="I210" i="1" s="1"/>
  <c r="J211" i="1"/>
  <c r="I211" i="1" s="1"/>
  <c r="J212" i="1"/>
  <c r="I212" i="1" s="1"/>
  <c r="J213" i="1"/>
  <c r="I213" i="1" s="1"/>
  <c r="J214" i="1"/>
  <c r="I214" i="1" s="1"/>
  <c r="G20" i="6"/>
  <c r="I15" i="4" a="1"/>
  <c r="I15" i="4" s="1"/>
  <c r="I14" i="4" a="1"/>
  <c r="I14" i="4" s="1"/>
  <c r="H15" i="4" a="1"/>
  <c r="H15" i="4" s="1"/>
  <c r="J15" i="1"/>
  <c r="I15" i="1" s="1"/>
  <c r="J16" i="1"/>
  <c r="I16" i="1" s="1"/>
  <c r="J17" i="1"/>
  <c r="I17" i="1" s="1"/>
  <c r="J18" i="1"/>
  <c r="I18" i="1" s="1"/>
  <c r="J19" i="1"/>
  <c r="I19" i="1" s="1"/>
  <c r="J20" i="1"/>
  <c r="I20" i="1" s="1"/>
  <c r="J21" i="1"/>
  <c r="I21" i="1" s="1"/>
  <c r="J22" i="1"/>
  <c r="I22" i="1" s="1"/>
  <c r="J23" i="1"/>
  <c r="I23" i="1" s="1"/>
  <c r="J24" i="1"/>
  <c r="I24" i="1" s="1"/>
  <c r="J25" i="1"/>
  <c r="I25" i="1" s="1"/>
  <c r="J26" i="1"/>
  <c r="I26" i="1" s="1"/>
  <c r="J27" i="1"/>
  <c r="I27" i="1" s="1"/>
  <c r="J28" i="1"/>
  <c r="I28" i="1" s="1"/>
  <c r="J29" i="1"/>
  <c r="I29" i="1" s="1"/>
  <c r="J30" i="1"/>
  <c r="I30" i="1" s="1"/>
  <c r="J31" i="1"/>
  <c r="I31" i="1" s="1"/>
  <c r="J32" i="1"/>
  <c r="I32" i="1" s="1"/>
  <c r="J33" i="1"/>
  <c r="I33" i="1" s="1"/>
  <c r="J34" i="1"/>
  <c r="I34" i="1" s="1"/>
  <c r="J35" i="1"/>
  <c r="I35" i="1" s="1"/>
  <c r="J36" i="1"/>
  <c r="I36" i="1" s="1"/>
  <c r="J37" i="1"/>
  <c r="I37" i="1" s="1"/>
  <c r="J38" i="1"/>
  <c r="I38" i="1" s="1"/>
  <c r="J39" i="1"/>
  <c r="I39" i="1" s="1"/>
  <c r="J40" i="1"/>
  <c r="I40" i="1" s="1"/>
  <c r="J41" i="1"/>
  <c r="I41" i="1" s="1"/>
  <c r="J42" i="1"/>
  <c r="I42" i="1" s="1"/>
  <c r="J43" i="1"/>
  <c r="I43" i="1" s="1"/>
  <c r="J44" i="1"/>
  <c r="I44" i="1" s="1"/>
  <c r="J45" i="1"/>
  <c r="I45" i="1" s="1"/>
  <c r="J46" i="1"/>
  <c r="I46" i="1" s="1"/>
  <c r="J47" i="1"/>
  <c r="I47" i="1" s="1"/>
  <c r="J48" i="1"/>
  <c r="I48" i="1" s="1"/>
  <c r="J49" i="1"/>
  <c r="I49" i="1" s="1"/>
  <c r="J50" i="1"/>
  <c r="I50" i="1" s="1"/>
  <c r="J51" i="1"/>
  <c r="I51" i="1" s="1"/>
  <c r="J52" i="1"/>
  <c r="I52" i="1" s="1"/>
  <c r="J53" i="1"/>
  <c r="I53" i="1" s="1"/>
  <c r="J54" i="1"/>
  <c r="I54" i="1" s="1"/>
  <c r="J55" i="1"/>
  <c r="I55" i="1" s="1"/>
  <c r="J56" i="1"/>
  <c r="I56" i="1" s="1"/>
  <c r="J57" i="1"/>
  <c r="I57" i="1" s="1"/>
  <c r="J58" i="1"/>
  <c r="I58" i="1" s="1"/>
  <c r="J59" i="1"/>
  <c r="I59" i="1" s="1"/>
  <c r="J60" i="1"/>
  <c r="I60" i="1" s="1"/>
  <c r="J61" i="1"/>
  <c r="I61" i="1" s="1"/>
  <c r="J62" i="1"/>
  <c r="I62" i="1" s="1"/>
  <c r="J63" i="1"/>
  <c r="I63" i="1" s="1"/>
  <c r="J64" i="1"/>
  <c r="I64" i="1" s="1"/>
  <c r="J65" i="1"/>
  <c r="I65" i="1" s="1"/>
  <c r="J66" i="1"/>
  <c r="I66" i="1" s="1"/>
  <c r="J67" i="1"/>
  <c r="I67" i="1" s="1"/>
  <c r="J68" i="1"/>
  <c r="I68" i="1" s="1"/>
  <c r="J69" i="1"/>
  <c r="I69" i="1" s="1"/>
  <c r="J70" i="1"/>
  <c r="I70" i="1" s="1"/>
  <c r="J71" i="1"/>
  <c r="I71" i="1" s="1"/>
  <c r="J72" i="1"/>
  <c r="I72" i="1" s="1"/>
  <c r="J73" i="1"/>
  <c r="I73" i="1" s="1"/>
  <c r="J74" i="1"/>
  <c r="I74" i="1" s="1"/>
  <c r="J75" i="1"/>
  <c r="I75" i="1" s="1"/>
  <c r="J76" i="1"/>
  <c r="I76" i="1" s="1"/>
  <c r="J77" i="1"/>
  <c r="I77" i="1" s="1"/>
  <c r="J78" i="1"/>
  <c r="I78" i="1" s="1"/>
  <c r="J79" i="1"/>
  <c r="I79" i="1" s="1"/>
  <c r="J80" i="1"/>
  <c r="I80" i="1" s="1"/>
  <c r="J81" i="1"/>
  <c r="I81" i="1" s="1"/>
  <c r="J82" i="1"/>
  <c r="I82" i="1" s="1"/>
  <c r="J83" i="1"/>
  <c r="I83" i="1" s="1"/>
  <c r="J84" i="1"/>
  <c r="I84" i="1" s="1"/>
  <c r="J85" i="1"/>
  <c r="I85" i="1" s="1"/>
  <c r="J86" i="1"/>
  <c r="I86" i="1" s="1"/>
  <c r="J87" i="1"/>
  <c r="I87" i="1" s="1"/>
  <c r="J88" i="1"/>
  <c r="I88" i="1" s="1"/>
  <c r="J89" i="1"/>
  <c r="I89" i="1" s="1"/>
  <c r="J90" i="1"/>
  <c r="I90" i="1" s="1"/>
  <c r="J91" i="1"/>
  <c r="I91" i="1" s="1"/>
  <c r="J92" i="1"/>
  <c r="I92" i="1" s="1"/>
  <c r="J93" i="1"/>
  <c r="I93" i="1" s="1"/>
  <c r="J94" i="1"/>
  <c r="I94" i="1" s="1"/>
  <c r="J95" i="1"/>
  <c r="I95" i="1" s="1"/>
  <c r="J96" i="1"/>
  <c r="I96" i="1" s="1"/>
  <c r="J97" i="1"/>
  <c r="I97" i="1" s="1"/>
  <c r="J98" i="1"/>
  <c r="I98" i="1" s="1"/>
  <c r="J99" i="1"/>
  <c r="I99" i="1" s="1"/>
  <c r="J100" i="1"/>
  <c r="I100" i="1" s="1"/>
  <c r="J101" i="1"/>
  <c r="I101" i="1" s="1"/>
  <c r="J102" i="1"/>
  <c r="I102" i="1" s="1"/>
  <c r="J103" i="1"/>
  <c r="I103" i="1" s="1"/>
  <c r="J104" i="1"/>
  <c r="I104" i="1" s="1"/>
  <c r="J105" i="1"/>
  <c r="I105" i="1" s="1"/>
  <c r="J106" i="1"/>
  <c r="I106" i="1" s="1"/>
  <c r="J107" i="1"/>
  <c r="I107" i="1" s="1"/>
  <c r="J108" i="1"/>
  <c r="I108" i="1" s="1"/>
  <c r="J109" i="1"/>
  <c r="I109" i="1" s="1"/>
  <c r="J110" i="1"/>
  <c r="I110" i="1" s="1"/>
  <c r="J111" i="1"/>
  <c r="I111" i="1" s="1"/>
  <c r="J112" i="1"/>
  <c r="I112" i="1" s="1"/>
  <c r="J113" i="1"/>
  <c r="I113" i="1" s="1"/>
  <c r="J114" i="1"/>
  <c r="I114" i="1" s="1"/>
  <c r="K15" i="4" l="1"/>
  <c r="P34" i="6" s="1"/>
  <c r="H14" i="4" a="1"/>
  <c r="H14" i="4" s="1"/>
  <c r="K14" i="4" s="1"/>
  <c r="L34" i="6" s="1"/>
  <c r="I12" i="4" a="1"/>
  <c r="I12" i="4" s="1"/>
  <c r="I11" i="4" a="1"/>
  <c r="I11" i="4" s="1"/>
  <c r="H12" i="4" a="1"/>
  <c r="H12" i="4" s="1"/>
  <c r="H11" i="4" a="1"/>
  <c r="H11" i="4" s="1"/>
  <c r="I8" i="4" a="1"/>
  <c r="I8" i="4" s="1"/>
  <c r="H8" i="4" a="1"/>
  <c r="H8" i="4" s="1"/>
  <c r="H18" i="6"/>
  <c r="K12" i="4" l="1"/>
  <c r="F34" i="6" s="1"/>
  <c r="K11" i="4"/>
  <c r="B34" i="6" s="1"/>
  <c r="P12" i="6" a="1"/>
  <c r="P12" i="6" s="1"/>
  <c r="K8" i="4"/>
  <c r="D26" i="6" s="1"/>
  <c r="J14" i="4"/>
  <c r="J36" i="6" s="1"/>
  <c r="J11" i="4"/>
  <c r="P11" i="6" s="1" a="1"/>
  <c r="P11" i="6" s="1"/>
  <c r="J12" i="4"/>
  <c r="F36" i="6" s="1"/>
  <c r="J8" i="4"/>
  <c r="D28" i="6" s="1"/>
  <c r="J15" i="4"/>
  <c r="N36" i="6" s="1"/>
  <c r="B36" i="6" l="1"/>
  <c r="I9" i="4"/>
  <c r="H9" i="4"/>
  <c r="K9" i="4" l="1"/>
  <c r="N26" i="6" s="1"/>
  <c r="J9" i="4"/>
  <c r="N155" i="1" l="1"/>
  <c r="N74" i="1"/>
  <c r="N158" i="1"/>
  <c r="N15" i="1"/>
  <c r="N85" i="1"/>
  <c r="N211" i="1"/>
  <c r="N42" i="1"/>
  <c r="N113" i="1"/>
  <c r="N96" i="1"/>
  <c r="N30" i="1"/>
  <c r="N194" i="1"/>
  <c r="N203" i="1"/>
  <c r="N47" i="1"/>
  <c r="N76" i="1"/>
  <c r="N123" i="1"/>
  <c r="N80" i="1"/>
  <c r="N51" i="1"/>
  <c r="N62" i="1"/>
  <c r="N89" i="1"/>
  <c r="N130" i="1"/>
  <c r="N17" i="1"/>
  <c r="N111" i="1"/>
  <c r="N40" i="1"/>
  <c r="N126" i="1"/>
  <c r="N106" i="1"/>
  <c r="N164" i="1"/>
  <c r="N160" i="1"/>
  <c r="N134" i="1"/>
  <c r="N146" i="1"/>
  <c r="N41" i="1"/>
  <c r="N71" i="1"/>
  <c r="N97" i="1"/>
  <c r="N159" i="1"/>
  <c r="N103" i="1"/>
  <c r="N53" i="1"/>
  <c r="N107" i="1"/>
  <c r="N166" i="1"/>
  <c r="N117" i="1"/>
  <c r="N169" i="1"/>
  <c r="N201" i="1"/>
  <c r="N200" i="1"/>
  <c r="N38" i="1"/>
  <c r="N29" i="1"/>
  <c r="N49" i="1"/>
  <c r="N95" i="1"/>
  <c r="N98" i="1"/>
  <c r="N195" i="1"/>
  <c r="N125" i="1"/>
  <c r="N116" i="1"/>
  <c r="N214" i="1"/>
  <c r="N67" i="1"/>
  <c r="N163" i="1"/>
  <c r="N44" i="1"/>
  <c r="N199" i="1"/>
  <c r="N57" i="1"/>
  <c r="N78" i="1"/>
  <c r="N79" i="1"/>
  <c r="N207" i="1"/>
  <c r="N137" i="1"/>
  <c r="N162" i="1"/>
  <c r="N128" i="1"/>
  <c r="N141" i="1"/>
  <c r="N26" i="1"/>
  <c r="N19" i="1"/>
  <c r="N140" i="1"/>
  <c r="N88" i="1"/>
  <c r="N157" i="1"/>
  <c r="N161" i="1"/>
  <c r="N152" i="1"/>
  <c r="N33" i="1"/>
  <c r="N185" i="1"/>
  <c r="N181" i="1"/>
  <c r="N25" i="1"/>
  <c r="N172" i="1"/>
  <c r="N50" i="1"/>
  <c r="N91" i="1"/>
  <c r="N118" i="1"/>
  <c r="N101" i="1"/>
  <c r="N145" i="1"/>
  <c r="N124" i="1"/>
  <c r="N149" i="1"/>
  <c r="N59" i="1"/>
  <c r="N165" i="1"/>
  <c r="N45" i="1"/>
  <c r="N136" i="1"/>
  <c r="N86" i="1"/>
  <c r="N189" i="1"/>
  <c r="N148" i="1"/>
  <c r="N144" i="1"/>
  <c r="N27" i="1"/>
  <c r="N212" i="1"/>
  <c r="N208" i="1"/>
  <c r="N104" i="1"/>
  <c r="N120" i="1"/>
  <c r="N70" i="1"/>
  <c r="N94" i="1"/>
  <c r="N16" i="1"/>
  <c r="N187" i="1"/>
  <c r="N58" i="1"/>
  <c r="N36" i="1"/>
  <c r="N132" i="1"/>
  <c r="N34" i="1"/>
  <c r="N156" i="1"/>
  <c r="N23" i="1"/>
  <c r="N64" i="1"/>
  <c r="N119" i="1"/>
  <c r="N122" i="1"/>
  <c r="N171" i="1"/>
  <c r="N186" i="1"/>
  <c r="N110" i="1"/>
  <c r="N131" i="1"/>
  <c r="N183" i="1"/>
  <c r="N198" i="1"/>
  <c r="N143" i="1"/>
  <c r="N210" i="1"/>
  <c r="N178" i="1"/>
  <c r="N65" i="1"/>
  <c r="N43" i="1"/>
  <c r="N190" i="1"/>
  <c r="N48" i="1"/>
  <c r="N75" i="1"/>
  <c r="N20" i="1"/>
  <c r="N46" i="1"/>
  <c r="N213" i="1"/>
  <c r="N66" i="1"/>
  <c r="N32" i="1"/>
  <c r="N28" i="1"/>
  <c r="N83" i="1"/>
  <c r="N150" i="1"/>
  <c r="N69" i="1"/>
  <c r="N193" i="1"/>
  <c r="N102" i="1"/>
  <c r="N153" i="1"/>
  <c r="N105" i="1"/>
  <c r="N188" i="1"/>
  <c r="N61" i="1"/>
  <c r="N167" i="1"/>
  <c r="N121" i="1"/>
  <c r="N170" i="1"/>
  <c r="N202" i="1"/>
  <c r="N90" i="1"/>
  <c r="N35" i="1"/>
  <c r="N56" i="1"/>
  <c r="N135" i="1"/>
  <c r="N151" i="1"/>
  <c r="N55" i="1"/>
  <c r="N175" i="1"/>
  <c r="N52" i="1"/>
  <c r="N154" i="1"/>
  <c r="N22" i="1"/>
  <c r="N179" i="1"/>
  <c r="N168" i="1"/>
  <c r="N133" i="1"/>
  <c r="N182" i="1"/>
  <c r="N82" i="1"/>
  <c r="N196" i="1"/>
  <c r="N205" i="1"/>
  <c r="N176" i="1"/>
  <c r="N63" i="1"/>
  <c r="N93" i="1"/>
  <c r="N191" i="1"/>
  <c r="N180" i="1"/>
  <c r="N115" i="1"/>
  <c r="N114" i="1"/>
  <c r="N100" i="1"/>
  <c r="N68" i="1"/>
  <c r="N24" i="1"/>
  <c r="N92" i="1"/>
  <c r="N77" i="1"/>
  <c r="N142" i="1"/>
  <c r="N177" i="1"/>
  <c r="N31" i="1"/>
  <c r="N192" i="1"/>
  <c r="N206" i="1"/>
  <c r="N127" i="1"/>
  <c r="N37" i="1"/>
  <c r="N112" i="1"/>
  <c r="N108" i="1"/>
  <c r="N184" i="1"/>
  <c r="N129" i="1"/>
  <c r="N87" i="1"/>
  <c r="N197" i="1"/>
  <c r="N99" i="1"/>
  <c r="N209" i="1"/>
  <c r="N109" i="1"/>
  <c r="N18" i="1"/>
  <c r="N54" i="1"/>
  <c r="N204" i="1"/>
  <c r="N173" i="1"/>
  <c r="N138" i="1"/>
  <c r="N139" i="1"/>
  <c r="N84" i="1"/>
  <c r="N39" i="1"/>
  <c r="N21" i="1"/>
  <c r="N147" i="1"/>
  <c r="N81" i="1"/>
  <c r="N174" i="1"/>
  <c r="N72" i="1"/>
  <c r="N60" i="1"/>
  <c r="N73" i="1"/>
  <c r="D7" i="6" l="1"/>
  <c r="D6" i="6"/>
  <c r="G7" i="6"/>
  <c r="G6" i="6"/>
  <c r="J5" i="6" l="1"/>
  <c r="J6" i="6"/>
  <c r="J7" i="6"/>
  <c r="E15" i="2" l="1" a="1"/>
  <c r="E15" i="2" s="1"/>
  <c r="C56" i="2" s="1"/>
  <c r="D56" i="2" s="1" a="1"/>
  <c r="D56" i="2" s="1"/>
  <c r="E23" i="2" a="1"/>
  <c r="E23" i="2" s="1"/>
  <c r="C64" i="2" s="1"/>
  <c r="D64" i="2" s="1" a="1"/>
  <c r="D64" i="2" s="1"/>
  <c r="B21" i="2" a="1"/>
  <c r="B21" i="2" s="1"/>
  <c r="C35" i="2" s="1"/>
  <c r="D35" i="2" s="1" a="1"/>
  <c r="D35" i="2" s="1"/>
  <c r="B19" i="2" a="1"/>
  <c r="B19" i="2" s="1"/>
  <c r="C33" i="2" s="1"/>
  <c r="D33" i="2" s="1" a="1"/>
  <c r="D33" i="2" s="1"/>
  <c r="D67" i="2" a="1"/>
  <c r="D67" i="2" s="1"/>
  <c r="E20" i="2" a="1"/>
  <c r="E20" i="2" s="1"/>
  <c r="C61" i="2" s="1"/>
  <c r="D61" i="2" s="1" a="1"/>
  <c r="D61" i="2" s="1"/>
  <c r="C20" i="2" a="1"/>
  <c r="C20" i="2" s="1"/>
  <c r="C43" i="2" s="1"/>
  <c r="E17" i="2" a="1"/>
  <c r="E17" i="2" s="1"/>
  <c r="C58" i="2" s="1"/>
  <c r="D58" i="2" s="1" a="1"/>
  <c r="D58" i="2" s="1"/>
  <c r="B17" i="2" a="1"/>
  <c r="B17" i="2" s="1"/>
  <c r="C31" i="2" s="1"/>
  <c r="E31" i="2" s="1" a="1"/>
  <c r="E31" i="2" s="1"/>
  <c r="C16" i="2" a="1"/>
  <c r="C16" i="2" s="1"/>
  <c r="C39" i="2" s="1"/>
  <c r="D39" i="2" s="1" a="1"/>
  <c r="D39" i="2" s="1"/>
  <c r="B16" i="2" a="1"/>
  <c r="B16" i="2" s="1"/>
  <c r="C30" i="2" s="1"/>
  <c r="D30" i="2" s="1" a="1"/>
  <c r="D30" i="2" s="1"/>
  <c r="C22" i="2" a="1"/>
  <c r="C22" i="2" s="1"/>
  <c r="C45" i="2" s="1"/>
  <c r="D22" i="2" a="1"/>
  <c r="D22" i="2" s="1"/>
  <c r="C54" i="2" s="1"/>
  <c r="E54" i="2" s="1" a="1"/>
  <c r="E54" i="2" s="1"/>
  <c r="C15" i="2" a="1"/>
  <c r="C15" i="2" s="1"/>
  <c r="C38" i="2" s="1"/>
  <c r="D38" i="2" s="1" a="1"/>
  <c r="D38" i="2" s="1"/>
  <c r="D66" i="2" a="1"/>
  <c r="D66" i="2" s="1"/>
  <c r="E18" i="2" a="1"/>
  <c r="E18" i="2" s="1"/>
  <c r="C59" i="2" s="1"/>
  <c r="D18" i="2" a="1"/>
  <c r="D18" i="2" s="1"/>
  <c r="C50" i="2" s="1"/>
  <c r="C18" i="2" a="1"/>
  <c r="C18" i="2" s="1"/>
  <c r="C41" i="2" s="1"/>
  <c r="D15" i="2" a="1"/>
  <c r="D15" i="2" s="1"/>
  <c r="C47" i="2" s="1"/>
  <c r="D47" i="2" s="1" a="1"/>
  <c r="D47" i="2" s="1"/>
  <c r="E19" i="2" a="1"/>
  <c r="E19" i="2" s="1"/>
  <c r="C60" i="2" s="1"/>
  <c r="D19" i="2" a="1"/>
  <c r="D19" i="2" s="1"/>
  <c r="C51" i="2" s="1"/>
  <c r="E21" i="2" a="1"/>
  <c r="E21" i="2" s="1"/>
  <c r="C62" i="2" s="1"/>
  <c r="C17" i="2" a="1"/>
  <c r="C17" i="2" s="1"/>
  <c r="C40" i="2" s="1"/>
  <c r="D69" i="2" a="1"/>
  <c r="D69" i="2" s="1"/>
  <c r="D20" i="2" a="1"/>
  <c r="D20" i="2" s="1"/>
  <c r="C52" i="2" s="1"/>
  <c r="B22" i="2" a="1"/>
  <c r="B22" i="2" s="1"/>
  <c r="C36" i="2" s="1"/>
  <c r="C21" i="2" a="1"/>
  <c r="C21" i="2" s="1"/>
  <c r="C44" i="2" s="1"/>
  <c r="E44" i="2" s="1" a="1"/>
  <c r="E44" i="2" s="1"/>
  <c r="E16" i="2" a="1"/>
  <c r="E16" i="2" s="1"/>
  <c r="C57" i="2" s="1"/>
  <c r="B18" i="2" a="1"/>
  <c r="B18" i="2" s="1"/>
  <c r="C32" i="2" s="1"/>
  <c r="C23" i="2" a="1"/>
  <c r="C23" i="2" s="1"/>
  <c r="C46" i="2" s="1"/>
  <c r="C19" i="2" a="1"/>
  <c r="C19" i="2" s="1"/>
  <c r="C42" i="2" s="1"/>
  <c r="D42" i="2" s="1" a="1"/>
  <c r="D42" i="2" s="1"/>
  <c r="D21" i="2" a="1"/>
  <c r="D21" i="2" s="1"/>
  <c r="C53" i="2" s="1"/>
  <c r="D65" i="2" a="1"/>
  <c r="D65" i="2" s="1"/>
  <c r="D23" i="2" a="1"/>
  <c r="D23" i="2" s="1"/>
  <c r="C55" i="2" s="1"/>
  <c r="B23" i="2" a="1"/>
  <c r="B23" i="2" s="1"/>
  <c r="C37" i="2" s="1"/>
  <c r="D17" i="2" a="1"/>
  <c r="D17" i="2" s="1"/>
  <c r="C49" i="2" s="1"/>
  <c r="E49" i="2" s="1" a="1"/>
  <c r="E49" i="2" s="1"/>
  <c r="B20" i="2" a="1"/>
  <c r="B20" i="2" s="1"/>
  <c r="C34" i="2" s="1"/>
  <c r="B15" i="2" a="1"/>
  <c r="B15" i="2" s="1"/>
  <c r="C29" i="2" s="1"/>
  <c r="B8" i="2"/>
  <c r="E22" i="2" a="1"/>
  <c r="E22" i="2" s="1"/>
  <c r="C63" i="2" s="1"/>
  <c r="E63" i="2" s="1" a="1"/>
  <c r="E63" i="2" s="1"/>
  <c r="D68" i="2" a="1"/>
  <c r="D68" i="2" s="1"/>
  <c r="E35" i="2" a="1"/>
  <c r="E35" i="2" s="1"/>
  <c r="E68" i="2" a="1"/>
  <c r="E68" i="2" s="1"/>
  <c r="E67" i="2" a="1"/>
  <c r="E67" i="2" s="1"/>
  <c r="E66" i="2" a="1"/>
  <c r="E66" i="2" s="1"/>
  <c r="E65" i="2" a="1"/>
  <c r="E65" i="2" s="1"/>
  <c r="E61" i="2" a="1"/>
  <c r="E61" i="2" s="1"/>
  <c r="E69" i="2" a="1"/>
  <c r="E69" i="2" s="1"/>
  <c r="E56" i="2" a="1"/>
  <c r="E56" i="2" s="1"/>
  <c r="B7" i="2"/>
  <c r="D16" i="2" a="1"/>
  <c r="D16" i="2" s="1"/>
  <c r="C48" i="2" s="1"/>
  <c r="E64" i="2" l="1" a="1"/>
  <c r="E64" i="2" s="1"/>
  <c r="E58" i="2" a="1"/>
  <c r="E58" i="2" s="1"/>
  <c r="F58" i="2" s="1"/>
  <c r="E39" i="2" a="1"/>
  <c r="E39" i="2" s="1"/>
  <c r="H39" i="2" s="1"/>
  <c r="E30" i="2" a="1"/>
  <c r="E30" i="2" s="1"/>
  <c r="H30" i="2" s="1"/>
  <c r="D31" i="2" a="1"/>
  <c r="D31" i="2" s="1"/>
  <c r="G31" i="2" s="1" a="1"/>
  <c r="G31" i="2" s="1"/>
  <c r="B9" i="2"/>
  <c r="E33" i="2" a="1"/>
  <c r="E33" i="2" s="1"/>
  <c r="F33" i="2" s="1"/>
  <c r="D54" i="2" a="1"/>
  <c r="D54" i="2" s="1"/>
  <c r="F54" i="2" s="1"/>
  <c r="H31" i="2"/>
  <c r="E38" i="2" a="1"/>
  <c r="E38" i="2" s="1"/>
  <c r="H38" i="2" s="1"/>
  <c r="H61" i="2"/>
  <c r="H63" i="2"/>
  <c r="H66" i="2"/>
  <c r="D62" i="2" a="1"/>
  <c r="D62" i="2" s="1"/>
  <c r="G62" i="2" s="1" a="1"/>
  <c r="G62" i="2" s="1"/>
  <c r="E62" i="2" a="1"/>
  <c r="E62" i="2" s="1"/>
  <c r="H62" i="2" s="1"/>
  <c r="D40" i="2" a="1"/>
  <c r="D40" i="2" s="1"/>
  <c r="G40" i="2" s="1" a="1"/>
  <c r="G40" i="2" s="1"/>
  <c r="E40" i="2" a="1"/>
  <c r="E40" i="2" s="1"/>
  <c r="H40" i="2" s="1"/>
  <c r="E42" i="2" a="1"/>
  <c r="E42" i="2" s="1"/>
  <c r="F42" i="2" s="1"/>
  <c r="D29" i="2" a="1"/>
  <c r="D29" i="2" s="1"/>
  <c r="G29" i="2" s="1" a="1"/>
  <c r="G29" i="2" s="1"/>
  <c r="E29" i="2" a="1"/>
  <c r="E29" i="2" s="1"/>
  <c r="D57" i="2" a="1"/>
  <c r="D57" i="2" s="1"/>
  <c r="G57" i="2" s="1" a="1"/>
  <c r="G57" i="2" s="1"/>
  <c r="E57" i="2" a="1"/>
  <c r="E57" i="2" s="1"/>
  <c r="H57" i="2" s="1"/>
  <c r="D51" i="2" a="1"/>
  <c r="D51" i="2" s="1"/>
  <c r="G51" i="2" s="1" a="1"/>
  <c r="G51" i="2" s="1"/>
  <c r="E51" i="2" a="1"/>
  <c r="E51" i="2" s="1"/>
  <c r="H51" i="2" s="1"/>
  <c r="D59" i="2" a="1"/>
  <c r="D59" i="2" s="1"/>
  <c r="G59" i="2" s="1" a="1"/>
  <c r="G59" i="2" s="1"/>
  <c r="E59" i="2" a="1"/>
  <c r="E59" i="2" s="1"/>
  <c r="H59" i="2" s="1"/>
  <c r="D41" i="2" a="1"/>
  <c r="D41" i="2" s="1"/>
  <c r="G41" i="2" s="1" a="1"/>
  <c r="G41" i="2" s="1"/>
  <c r="E41" i="2" a="1"/>
  <c r="E41" i="2" s="1"/>
  <c r="H41" i="2" s="1"/>
  <c r="D36" i="2" a="1"/>
  <c r="D36" i="2" s="1"/>
  <c r="G36" i="2" s="1" a="1"/>
  <c r="G36" i="2" s="1"/>
  <c r="E36" i="2" a="1"/>
  <c r="E36" i="2" s="1"/>
  <c r="H36" i="2" s="1"/>
  <c r="D52" i="2" a="1"/>
  <c r="D52" i="2" s="1"/>
  <c r="E52" i="2" a="1"/>
  <c r="E52" i="2" s="1"/>
  <c r="H52" i="2" s="1"/>
  <c r="D53" i="2" a="1"/>
  <c r="D53" i="2" s="1"/>
  <c r="G53" i="2" s="1" a="1"/>
  <c r="G53" i="2" s="1"/>
  <c r="E53" i="2" a="1"/>
  <c r="E53" i="2" s="1"/>
  <c r="H53" i="2" s="1"/>
  <c r="F69" i="2"/>
  <c r="F67" i="2"/>
  <c r="F66" i="2"/>
  <c r="E45" i="2" a="1"/>
  <c r="E45" i="2" s="1"/>
  <c r="H45" i="2" s="1"/>
  <c r="D45" i="2" a="1"/>
  <c r="D45" i="2" s="1"/>
  <c r="G45" i="2" s="1" a="1"/>
  <c r="G45" i="2" s="1"/>
  <c r="D32" i="2" a="1"/>
  <c r="D32" i="2" s="1"/>
  <c r="G32" i="2" s="1" a="1"/>
  <c r="G32" i="2" s="1"/>
  <c r="E32" i="2" a="1"/>
  <c r="E32" i="2" s="1"/>
  <c r="H32" i="2" s="1"/>
  <c r="D37" i="2" a="1"/>
  <c r="D37" i="2" s="1"/>
  <c r="G37" i="2" s="1" a="1"/>
  <c r="G37" i="2" s="1"/>
  <c r="E37" i="2" a="1"/>
  <c r="E37" i="2" s="1"/>
  <c r="H37" i="2" s="1"/>
  <c r="D46" i="2" a="1"/>
  <c r="D46" i="2" s="1"/>
  <c r="G46" i="2" s="1" a="1"/>
  <c r="G46" i="2" s="1"/>
  <c r="E46" i="2" a="1"/>
  <c r="E46" i="2" s="1"/>
  <c r="H46" i="2" s="1"/>
  <c r="D48" i="2" a="1"/>
  <c r="D48" i="2" s="1"/>
  <c r="G48" i="2" s="1" a="1"/>
  <c r="G48" i="2" s="1"/>
  <c r="E48" i="2" a="1"/>
  <c r="E48" i="2" s="1"/>
  <c r="H48" i="2" s="1"/>
  <c r="D55" i="2" a="1"/>
  <c r="D55" i="2" s="1"/>
  <c r="E55" i="2" a="1"/>
  <c r="E55" i="2" s="1"/>
  <c r="H55" i="2" s="1"/>
  <c r="H35" i="2"/>
  <c r="F35" i="2"/>
  <c r="D34" i="2" a="1"/>
  <c r="D34" i="2" s="1"/>
  <c r="G34" i="2" s="1" a="1"/>
  <c r="G34" i="2" s="1"/>
  <c r="E34" i="2" a="1"/>
  <c r="E34" i="2" s="1"/>
  <c r="H34" i="2" s="1"/>
  <c r="D60" i="2" a="1"/>
  <c r="D60" i="2" s="1"/>
  <c r="E60" i="2" a="1"/>
  <c r="E60" i="2" s="1"/>
  <c r="H60" i="2" s="1"/>
  <c r="D63" i="2" a="1"/>
  <c r="D63" i="2" s="1"/>
  <c r="G63" i="2" s="1" a="1"/>
  <c r="G63" i="2" s="1"/>
  <c r="G39" i="2" a="1"/>
  <c r="G39" i="2" s="1"/>
  <c r="G47" i="2" a="1"/>
  <c r="G47" i="2" s="1"/>
  <c r="G30" i="2" a="1"/>
  <c r="G30" i="2" s="1"/>
  <c r="G64" i="2" a="1"/>
  <c r="G64" i="2" s="1"/>
  <c r="G67" i="2" a="1"/>
  <c r="G67" i="2" s="1"/>
  <c r="G61" i="2" a="1"/>
  <c r="G61" i="2" s="1"/>
  <c r="G38" i="2" a="1"/>
  <c r="G38" i="2" s="1"/>
  <c r="G66" i="2" a="1"/>
  <c r="G66" i="2" s="1"/>
  <c r="G58" i="2" a="1"/>
  <c r="G58" i="2" s="1"/>
  <c r="G35" i="2" a="1"/>
  <c r="G35" i="2" s="1"/>
  <c r="G33" i="2" a="1"/>
  <c r="G33" i="2" s="1"/>
  <c r="G68" i="2" a="1"/>
  <c r="G68" i="2" s="1"/>
  <c r="F65" i="2"/>
  <c r="D44" i="2" a="1"/>
  <c r="D44" i="2" s="1"/>
  <c r="D49" i="2" a="1"/>
  <c r="D49" i="2" s="1"/>
  <c r="G49" i="2" s="1" a="1"/>
  <c r="G49" i="2" s="1"/>
  <c r="F68" i="2"/>
  <c r="E47" i="2" a="1"/>
  <c r="E47" i="2" s="1"/>
  <c r="H47" i="2" s="1"/>
  <c r="H64" i="2"/>
  <c r="E43" i="2" a="1"/>
  <c r="E43" i="2" s="1"/>
  <c r="H43" i="2" s="1"/>
  <c r="D43" i="2" a="1"/>
  <c r="D43" i="2" s="1"/>
  <c r="G65" i="2" a="1"/>
  <c r="G65" i="2" s="1"/>
  <c r="F64" i="2"/>
  <c r="H54" i="2"/>
  <c r="H68" i="2"/>
  <c r="H67" i="2"/>
  <c r="H49" i="2"/>
  <c r="H56" i="2"/>
  <c r="H69" i="2"/>
  <c r="H65" i="2"/>
  <c r="E50" i="2" a="1"/>
  <c r="E50" i="2" s="1"/>
  <c r="H50" i="2" s="1"/>
  <c r="D50" i="2" a="1"/>
  <c r="D50" i="2" s="1"/>
  <c r="G69" i="2" a="1"/>
  <c r="G69" i="2" s="1"/>
  <c r="F61" i="2"/>
  <c r="G56" i="2" a="1"/>
  <c r="G56" i="2" s="1"/>
  <c r="F56" i="2"/>
  <c r="H44" i="2"/>
  <c r="G42" i="2" a="1"/>
  <c r="G42" i="2" s="1"/>
  <c r="G54" i="2" l="1" a="1"/>
  <c r="G54" i="2" s="1"/>
  <c r="I54" i="2" s="1"/>
  <c r="J54" i="2" s="1"/>
  <c r="K54" i="2" s="1"/>
  <c r="F31" i="2"/>
  <c r="I63" i="2"/>
  <c r="H58" i="2"/>
  <c r="I58" i="2" s="1"/>
  <c r="J58" i="2" s="1"/>
  <c r="K58" i="2" s="1"/>
  <c r="I31" i="2"/>
  <c r="F39" i="2"/>
  <c r="F30" i="2"/>
  <c r="H33" i="2"/>
  <c r="I33" i="2" s="1"/>
  <c r="J33" i="2" s="1"/>
  <c r="K33" i="2" s="1"/>
  <c r="I30" i="2"/>
  <c r="H42" i="2"/>
  <c r="I42" i="2" s="1"/>
  <c r="J42" i="2" s="1"/>
  <c r="K42" i="2" s="1"/>
  <c r="F29" i="2"/>
  <c r="I35" i="2"/>
  <c r="J35" i="2" s="1"/>
  <c r="K35" i="2" s="1"/>
  <c r="I40" i="2"/>
  <c r="F62" i="2"/>
  <c r="F40" i="2"/>
  <c r="I59" i="2"/>
  <c r="I61" i="2"/>
  <c r="J61" i="2" s="1"/>
  <c r="K61" i="2" s="1"/>
  <c r="F38" i="2"/>
  <c r="F59" i="2"/>
  <c r="I41" i="2"/>
  <c r="F36" i="2"/>
  <c r="F43" i="2"/>
  <c r="I49" i="2"/>
  <c r="H29" i="2"/>
  <c r="I29" i="2" s="1"/>
  <c r="I68" i="2"/>
  <c r="J68" i="2" s="1"/>
  <c r="K68" i="2" s="1"/>
  <c r="F53" i="2"/>
  <c r="F57" i="2"/>
  <c r="I37" i="2"/>
  <c r="F52" i="2"/>
  <c r="F51" i="2"/>
  <c r="I36" i="2"/>
  <c r="F41" i="2"/>
  <c r="F50" i="2"/>
  <c r="I56" i="2"/>
  <c r="J56" i="2" s="1"/>
  <c r="K56" i="2" s="1"/>
  <c r="I62" i="2"/>
  <c r="I57" i="2"/>
  <c r="I51" i="2"/>
  <c r="I34" i="2"/>
  <c r="G52" i="2" a="1"/>
  <c r="G52" i="2" s="1"/>
  <c r="I52" i="2" s="1"/>
  <c r="F55" i="2"/>
  <c r="I38" i="2"/>
  <c r="F60" i="2"/>
  <c r="F48" i="2"/>
  <c r="F44" i="2"/>
  <c r="I39" i="2"/>
  <c r="F46" i="2"/>
  <c r="I47" i="2"/>
  <c r="I66" i="2"/>
  <c r="J66" i="2" s="1"/>
  <c r="K66" i="2" s="1"/>
  <c r="F49" i="2"/>
  <c r="G50" i="2" a="1"/>
  <c r="G50" i="2" s="1"/>
  <c r="I50" i="2" s="1"/>
  <c r="I67" i="2"/>
  <c r="J67" i="2" s="1"/>
  <c r="K67" i="2" s="1"/>
  <c r="G55" i="2" a="1"/>
  <c r="G55" i="2" s="1"/>
  <c r="I55" i="2" s="1"/>
  <c r="G60" i="2" a="1"/>
  <c r="G60" i="2" s="1"/>
  <c r="I60" i="2" s="1"/>
  <c r="G44" i="2" a="1"/>
  <c r="G44" i="2" s="1"/>
  <c r="I44" i="2" s="1"/>
  <c r="I46" i="2"/>
  <c r="F37" i="2"/>
  <c r="I45" i="2"/>
  <c r="F47" i="2"/>
  <c r="F34" i="2"/>
  <c r="I53" i="2"/>
  <c r="I32" i="2"/>
  <c r="F63" i="2"/>
  <c r="F32" i="2"/>
  <c r="I48" i="2"/>
  <c r="G43" i="2" a="1"/>
  <c r="G43" i="2" s="1"/>
  <c r="I43" i="2" s="1"/>
  <c r="I64" i="2"/>
  <c r="J64" i="2" s="1"/>
  <c r="K64" i="2" s="1"/>
  <c r="I69" i="2"/>
  <c r="J69" i="2" s="1"/>
  <c r="K69" i="2" s="1"/>
  <c r="I65" i="2"/>
  <c r="J65" i="2" s="1"/>
  <c r="K65" i="2" s="1"/>
  <c r="F45" i="2"/>
  <c r="J31" i="2" l="1"/>
  <c r="K31" i="2" s="1"/>
  <c r="J63" i="2"/>
  <c r="K63" i="2" s="1"/>
  <c r="J46" i="2"/>
  <c r="K46" i="2" s="1"/>
  <c r="J39" i="2"/>
  <c r="K39" i="2" s="1"/>
  <c r="J30" i="2"/>
  <c r="K30" i="2" s="1"/>
  <c r="J29" i="2"/>
  <c r="K29" i="2" s="1"/>
  <c r="J40" i="2"/>
  <c r="K40" i="2" s="1"/>
  <c r="J62" i="2"/>
  <c r="K62" i="2" s="1"/>
  <c r="J59" i="2"/>
  <c r="K59" i="2" s="1"/>
  <c r="J37" i="2"/>
  <c r="K37" i="2" s="1"/>
  <c r="J52" i="2"/>
  <c r="K52" i="2" s="1"/>
  <c r="J47" i="2"/>
  <c r="K47" i="2" s="1"/>
  <c r="J38" i="2"/>
  <c r="K38" i="2" s="1"/>
  <c r="J41" i="2"/>
  <c r="K41" i="2" s="1"/>
  <c r="J34" i="2"/>
  <c r="K34" i="2" s="1"/>
  <c r="J36" i="2"/>
  <c r="K36" i="2" s="1"/>
  <c r="J49" i="2"/>
  <c r="K49" i="2" s="1"/>
  <c r="J53" i="2"/>
  <c r="K53" i="2" s="1"/>
  <c r="J57" i="2"/>
  <c r="K57" i="2" s="1"/>
  <c r="J51" i="2"/>
  <c r="K51" i="2" s="1"/>
  <c r="J50" i="2"/>
  <c r="K50" i="2" s="1"/>
  <c r="J32" i="2"/>
  <c r="K32" i="2" s="1"/>
  <c r="J48" i="2"/>
  <c r="K48" i="2" s="1"/>
  <c r="J44" i="2"/>
  <c r="K44" i="2" s="1"/>
  <c r="J60" i="2"/>
  <c r="K60" i="2" s="1"/>
  <c r="J43" i="2"/>
  <c r="K43" i="2" s="1"/>
  <c r="J55" i="2"/>
  <c r="K55" i="2" s="1"/>
  <c r="J45" i="2"/>
  <c r="K45" i="2" s="1"/>
  <c r="D8" i="2" l="1"/>
  <c r="E8" i="2" l="1"/>
  <c r="B6" i="4" s="1"/>
  <c r="G8" i="2"/>
  <c r="B8" i="4" s="1"/>
  <c r="F8" i="2"/>
  <c r="B7" i="4" s="1"/>
  <c r="K95" i="1" l="1"/>
  <c r="L95" i="1" s="1"/>
  <c r="K119" i="1"/>
  <c r="K131" i="1"/>
  <c r="K143" i="1"/>
  <c r="K155" i="1"/>
  <c r="K167" i="1"/>
  <c r="K179" i="1"/>
  <c r="K191" i="1"/>
  <c r="K203" i="1"/>
  <c r="K120" i="1"/>
  <c r="K132" i="1"/>
  <c r="K144" i="1"/>
  <c r="K156" i="1"/>
  <c r="K168" i="1"/>
  <c r="K180" i="1"/>
  <c r="K192" i="1"/>
  <c r="K204" i="1"/>
  <c r="K121" i="1"/>
  <c r="K133" i="1"/>
  <c r="K145" i="1"/>
  <c r="K157" i="1"/>
  <c r="K169" i="1"/>
  <c r="K181" i="1"/>
  <c r="K193" i="1"/>
  <c r="K205" i="1"/>
  <c r="K122" i="1"/>
  <c r="K134" i="1"/>
  <c r="K146" i="1"/>
  <c r="K158" i="1"/>
  <c r="K170" i="1"/>
  <c r="K182" i="1"/>
  <c r="K194" i="1"/>
  <c r="K206" i="1"/>
  <c r="K123" i="1"/>
  <c r="K135" i="1"/>
  <c r="K147" i="1"/>
  <c r="K159" i="1"/>
  <c r="K171" i="1"/>
  <c r="K183" i="1"/>
  <c r="K195" i="1"/>
  <c r="K207" i="1"/>
  <c r="K124" i="1"/>
  <c r="K136" i="1"/>
  <c r="K148" i="1"/>
  <c r="K160" i="1"/>
  <c r="K172" i="1"/>
  <c r="K184" i="1"/>
  <c r="K196" i="1"/>
  <c r="K208" i="1"/>
  <c r="K125" i="1"/>
  <c r="K137" i="1"/>
  <c r="K149" i="1"/>
  <c r="K161" i="1"/>
  <c r="K173" i="1"/>
  <c r="K185" i="1"/>
  <c r="K197" i="1"/>
  <c r="K209" i="1"/>
  <c r="K126" i="1"/>
  <c r="K138" i="1"/>
  <c r="K150" i="1"/>
  <c r="K162" i="1"/>
  <c r="K174" i="1"/>
  <c r="K186" i="1"/>
  <c r="K198" i="1"/>
  <c r="K210" i="1"/>
  <c r="K115" i="1"/>
  <c r="K127" i="1"/>
  <c r="K139" i="1"/>
  <c r="K151" i="1"/>
  <c r="K163" i="1"/>
  <c r="K175" i="1"/>
  <c r="K187" i="1"/>
  <c r="K199" i="1"/>
  <c r="K211" i="1"/>
  <c r="K116" i="1"/>
  <c r="K128" i="1"/>
  <c r="K140" i="1"/>
  <c r="K152" i="1"/>
  <c r="K164" i="1"/>
  <c r="K176" i="1"/>
  <c r="K188" i="1"/>
  <c r="K200" i="1"/>
  <c r="K212" i="1"/>
  <c r="K117" i="1"/>
  <c r="K129" i="1"/>
  <c r="K141" i="1"/>
  <c r="K153" i="1"/>
  <c r="K165" i="1"/>
  <c r="K177" i="1"/>
  <c r="K189" i="1"/>
  <c r="K201" i="1"/>
  <c r="K213" i="1"/>
  <c r="K118" i="1"/>
  <c r="K130" i="1"/>
  <c r="K142" i="1"/>
  <c r="K154" i="1"/>
  <c r="K166" i="1"/>
  <c r="K178" i="1"/>
  <c r="K190" i="1"/>
  <c r="K202" i="1"/>
  <c r="K214" i="1"/>
  <c r="B12" i="4" a="1"/>
  <c r="B12" i="4" s="1"/>
  <c r="B15" i="4" s="1"/>
  <c r="K97" i="1"/>
  <c r="L97" i="1" s="1"/>
  <c r="K104" i="1"/>
  <c r="L104" i="1" s="1"/>
  <c r="K84" i="1"/>
  <c r="L84" i="1" s="1"/>
  <c r="B11" i="4" a="1"/>
  <c r="B11" i="4" s="1"/>
  <c r="K69" i="1"/>
  <c r="L69" i="1" s="1"/>
  <c r="K42" i="1"/>
  <c r="L42" i="1" s="1"/>
  <c r="K102" i="1"/>
  <c r="L102" i="1" s="1"/>
  <c r="K81" i="1"/>
  <c r="L81" i="1" s="1"/>
  <c r="K39" i="1"/>
  <c r="L39" i="1" s="1"/>
  <c r="K70" i="1"/>
  <c r="L70" i="1" s="1"/>
  <c r="K53" i="1"/>
  <c r="L53" i="1" s="1"/>
  <c r="K96" i="1"/>
  <c r="L96" i="1" s="1"/>
  <c r="K113" i="1"/>
  <c r="L113" i="1" s="1"/>
  <c r="K17" i="1"/>
  <c r="L17" i="1" s="1"/>
  <c r="K61" i="1"/>
  <c r="L61" i="1" s="1"/>
  <c r="K66" i="1"/>
  <c r="L66" i="1" s="1"/>
  <c r="K18" i="1"/>
  <c r="L18" i="1" s="1"/>
  <c r="K25" i="1"/>
  <c r="L25" i="1" s="1"/>
  <c r="K107" i="1"/>
  <c r="L107" i="1" s="1"/>
  <c r="K87" i="1"/>
  <c r="L87" i="1" s="1"/>
  <c r="K48" i="1"/>
  <c r="L48" i="1" s="1"/>
  <c r="K32" i="1"/>
  <c r="L32" i="1" s="1"/>
  <c r="K80" i="1"/>
  <c r="L80" i="1" s="1"/>
  <c r="K19" i="1"/>
  <c r="L19" i="1" s="1"/>
  <c r="K15" i="1"/>
  <c r="L15" i="1" s="1"/>
  <c r="K23" i="1"/>
  <c r="L23" i="1" s="1"/>
  <c r="K74" i="1"/>
  <c r="L74" i="1" s="1"/>
  <c r="K94" i="1"/>
  <c r="L94" i="1" s="1"/>
  <c r="K36" i="1"/>
  <c r="L36" i="1" s="1"/>
  <c r="K45" i="1"/>
  <c r="L45" i="1" s="1"/>
  <c r="K64" i="1"/>
  <c r="L64" i="1" s="1"/>
  <c r="K86" i="1"/>
  <c r="L86" i="1" s="1"/>
  <c r="K47" i="1"/>
  <c r="L47" i="1" s="1"/>
  <c r="K33" i="1"/>
  <c r="L33" i="1" s="1"/>
  <c r="K82" i="1"/>
  <c r="L82" i="1" s="1"/>
  <c r="K88" i="1"/>
  <c r="L88" i="1" s="1"/>
  <c r="K78" i="1"/>
  <c r="L78" i="1" s="1"/>
  <c r="K44" i="1"/>
  <c r="L44" i="1" s="1"/>
  <c r="K58" i="1"/>
  <c r="L58" i="1" s="1"/>
  <c r="K112" i="1"/>
  <c r="L112" i="1" s="1"/>
  <c r="K35" i="1"/>
  <c r="L35" i="1" s="1"/>
  <c r="K49" i="1"/>
  <c r="L49" i="1" s="1"/>
  <c r="K99" i="1"/>
  <c r="L99" i="1" s="1"/>
  <c r="K56" i="1"/>
  <c r="L56" i="1" s="1"/>
  <c r="K60" i="1"/>
  <c r="L60" i="1" s="1"/>
  <c r="K54" i="1"/>
  <c r="L54" i="1" s="1"/>
  <c r="K73" i="1"/>
  <c r="L73" i="1" s="1"/>
  <c r="K77" i="1"/>
  <c r="L77" i="1" s="1"/>
  <c r="K79" i="1"/>
  <c r="L79" i="1" s="1"/>
  <c r="K27" i="1"/>
  <c r="L27" i="1" s="1"/>
  <c r="K65" i="1"/>
  <c r="L65" i="1" s="1"/>
  <c r="K24" i="1"/>
  <c r="L24" i="1" s="1"/>
  <c r="K108" i="1"/>
  <c r="L108" i="1" s="1"/>
  <c r="K38" i="1"/>
  <c r="L38" i="1" s="1"/>
  <c r="K109" i="1"/>
  <c r="L109" i="1" s="1"/>
  <c r="K55" i="1"/>
  <c r="L55" i="1" s="1"/>
  <c r="K105" i="1"/>
  <c r="L105" i="1" s="1"/>
  <c r="K28" i="1"/>
  <c r="L28" i="1" s="1"/>
  <c r="K41" i="1"/>
  <c r="L41" i="1" s="1"/>
  <c r="K21" i="1"/>
  <c r="L21" i="1" s="1"/>
  <c r="K31" i="1"/>
  <c r="L31" i="1" s="1"/>
  <c r="K85" i="1"/>
  <c r="L85" i="1" s="1"/>
  <c r="K43" i="1"/>
  <c r="L43" i="1" s="1"/>
  <c r="K59" i="1"/>
  <c r="L59" i="1" s="1"/>
  <c r="K72" i="1"/>
  <c r="L72" i="1" s="1"/>
  <c r="K20" i="1"/>
  <c r="L20" i="1" s="1"/>
  <c r="K71" i="1"/>
  <c r="L71" i="1" s="1"/>
  <c r="K111" i="1"/>
  <c r="L111" i="1" s="1"/>
  <c r="K98" i="1"/>
  <c r="L98" i="1" s="1"/>
  <c r="K16" i="1"/>
  <c r="L16" i="1" s="1"/>
  <c r="K101" i="1"/>
  <c r="L101" i="1" s="1"/>
  <c r="K67" i="1"/>
  <c r="L67" i="1" s="1"/>
  <c r="K106" i="1"/>
  <c r="L106" i="1" s="1"/>
  <c r="K37" i="1"/>
  <c r="L37" i="1" s="1"/>
  <c r="K103" i="1"/>
  <c r="L103" i="1" s="1"/>
  <c r="K50" i="1"/>
  <c r="L50" i="1" s="1"/>
  <c r="K46" i="1"/>
  <c r="L46" i="1" s="1"/>
  <c r="K114" i="1"/>
  <c r="L114" i="1" s="1"/>
  <c r="K76" i="1"/>
  <c r="L76" i="1" s="1"/>
  <c r="K62" i="1"/>
  <c r="L62" i="1" s="1"/>
  <c r="K110" i="1"/>
  <c r="L110" i="1" s="1"/>
  <c r="K63" i="1"/>
  <c r="L63" i="1" s="1"/>
  <c r="K92" i="1"/>
  <c r="L92" i="1" s="1"/>
  <c r="K29" i="1"/>
  <c r="L29" i="1" s="1"/>
  <c r="K89" i="1"/>
  <c r="L89" i="1" s="1"/>
  <c r="K26" i="1"/>
  <c r="L26" i="1" s="1"/>
  <c r="K100" i="1"/>
  <c r="L100" i="1" s="1"/>
  <c r="K68" i="1"/>
  <c r="L68" i="1" s="1"/>
  <c r="K34" i="1"/>
  <c r="L34" i="1" s="1"/>
  <c r="K30" i="1"/>
  <c r="L30" i="1" s="1"/>
  <c r="K40" i="1"/>
  <c r="L40" i="1" s="1"/>
  <c r="K51" i="1"/>
  <c r="L51" i="1" s="1"/>
  <c r="K90" i="1"/>
  <c r="L90" i="1" s="1"/>
  <c r="K57" i="1"/>
  <c r="L57" i="1" s="1"/>
  <c r="K91" i="1"/>
  <c r="L91" i="1" s="1"/>
  <c r="K22" i="1"/>
  <c r="L22" i="1" s="1"/>
  <c r="K75" i="1"/>
  <c r="L75" i="1" s="1"/>
  <c r="K83" i="1"/>
  <c r="L83" i="1" s="1"/>
  <c r="K52" i="1"/>
  <c r="L52" i="1" s="1"/>
  <c r="K93" i="1"/>
  <c r="L93" i="1" s="1"/>
  <c r="L135" i="1" l="1"/>
  <c r="L154" i="1"/>
  <c r="L117" i="1"/>
  <c r="L187" i="1"/>
  <c r="L150" i="1"/>
  <c r="L196" i="1"/>
  <c r="L147" i="1"/>
  <c r="L193" i="1"/>
  <c r="L144" i="1"/>
  <c r="L132" i="1"/>
  <c r="L130" i="1"/>
  <c r="L200" i="1"/>
  <c r="L163" i="1"/>
  <c r="L126" i="1"/>
  <c r="L172" i="1"/>
  <c r="L123" i="1"/>
  <c r="L169" i="1"/>
  <c r="L120" i="1"/>
  <c r="L181" i="1"/>
  <c r="L118" i="1"/>
  <c r="L188" i="1"/>
  <c r="L151" i="1"/>
  <c r="L209" i="1"/>
  <c r="L160" i="1"/>
  <c r="L206" i="1"/>
  <c r="L157" i="1"/>
  <c r="L203" i="1"/>
  <c r="L212" i="1"/>
  <c r="L213" i="1"/>
  <c r="L176" i="1"/>
  <c r="L139" i="1"/>
  <c r="L197" i="1"/>
  <c r="L148" i="1"/>
  <c r="L194" i="1"/>
  <c r="L145" i="1"/>
  <c r="L191" i="1"/>
  <c r="L164" i="1"/>
  <c r="L127" i="1"/>
  <c r="L185" i="1"/>
  <c r="L136" i="1"/>
  <c r="L182" i="1"/>
  <c r="L133" i="1"/>
  <c r="L179" i="1"/>
  <c r="L184" i="1"/>
  <c r="L173" i="1"/>
  <c r="L124" i="1"/>
  <c r="L170" i="1"/>
  <c r="L121" i="1"/>
  <c r="L167" i="1"/>
  <c r="L214" i="1"/>
  <c r="L177" i="1"/>
  <c r="L140" i="1"/>
  <c r="L210" i="1"/>
  <c r="L161" i="1"/>
  <c r="L207" i="1"/>
  <c r="L158" i="1"/>
  <c r="L204" i="1"/>
  <c r="L155" i="1"/>
  <c r="L142" i="1"/>
  <c r="L165" i="1"/>
  <c r="L195" i="1"/>
  <c r="L146" i="1"/>
  <c r="L192" i="1"/>
  <c r="L143" i="1"/>
  <c r="L152" i="1"/>
  <c r="L198" i="1"/>
  <c r="L190" i="1"/>
  <c r="L153" i="1"/>
  <c r="L116" i="1"/>
  <c r="L186" i="1"/>
  <c r="L137" i="1"/>
  <c r="L183" i="1"/>
  <c r="L134" i="1"/>
  <c r="L180" i="1"/>
  <c r="L131" i="1"/>
  <c r="L175" i="1"/>
  <c r="L115" i="1"/>
  <c r="L202" i="1"/>
  <c r="L149" i="1"/>
  <c r="L178" i="1"/>
  <c r="L141" i="1"/>
  <c r="L211" i="1"/>
  <c r="L174" i="1"/>
  <c r="L125" i="1"/>
  <c r="L171" i="1"/>
  <c r="L122" i="1"/>
  <c r="L168" i="1"/>
  <c r="L119" i="1"/>
  <c r="L138" i="1"/>
  <c r="L201" i="1"/>
  <c r="L189" i="1"/>
  <c r="L128" i="1"/>
  <c r="L166" i="1"/>
  <c r="L129" i="1"/>
  <c r="L199" i="1"/>
  <c r="L162" i="1"/>
  <c r="L208" i="1"/>
  <c r="L159" i="1"/>
  <c r="L205" i="1"/>
  <c r="L156" i="1"/>
  <c r="B13" i="4"/>
  <c r="B14" i="4"/>
  <c r="B16" i="4" s="1"/>
  <c r="M19" i="1" s="1"/>
  <c r="M106" i="1" l="1"/>
  <c r="M165" i="1"/>
  <c r="M133" i="1"/>
  <c r="M161" i="1"/>
  <c r="M160" i="1"/>
  <c r="M196" i="1"/>
  <c r="M201" i="1"/>
  <c r="M176" i="1"/>
  <c r="M125" i="1"/>
  <c r="M115" i="1"/>
  <c r="M138" i="1"/>
  <c r="M174" i="1"/>
  <c r="M137" i="1"/>
  <c r="M210" i="1"/>
  <c r="M209" i="1"/>
  <c r="M150" i="1"/>
  <c r="M142" i="1"/>
  <c r="M169" i="1"/>
  <c r="M211" i="1"/>
  <c r="M186" i="1"/>
  <c r="M123" i="1"/>
  <c r="M202" i="1"/>
  <c r="M200" i="1"/>
  <c r="M170" i="1"/>
  <c r="M182" i="1"/>
  <c r="M129" i="1"/>
  <c r="M140" i="1"/>
  <c r="M187" i="1"/>
  <c r="M205" i="1"/>
  <c r="M204" i="1"/>
  <c r="M203" i="1"/>
  <c r="M188" i="1"/>
  <c r="M144" i="1"/>
  <c r="M117" i="1"/>
  <c r="M191" i="1"/>
  <c r="M183" i="1"/>
  <c r="M175" i="1"/>
  <c r="M194" i="1"/>
  <c r="M116" i="1"/>
  <c r="M172" i="1"/>
  <c r="M155" i="1"/>
  <c r="M132" i="1"/>
  <c r="M166" i="1"/>
  <c r="M192" i="1"/>
  <c r="M185" i="1"/>
  <c r="M122" i="1"/>
  <c r="M214" i="1"/>
  <c r="M118" i="1"/>
  <c r="M193" i="1"/>
  <c r="M154" i="1"/>
  <c r="M120" i="1"/>
  <c r="M162" i="1"/>
  <c r="M199" i="1"/>
  <c r="M213" i="1"/>
  <c r="M119" i="1"/>
  <c r="M131" i="1"/>
  <c r="M148" i="1"/>
  <c r="M128" i="1"/>
  <c r="M153" i="1"/>
  <c r="M127" i="1"/>
  <c r="M126" i="1"/>
  <c r="M121" i="1"/>
  <c r="M198" i="1"/>
  <c r="M130" i="1"/>
  <c r="M151" i="1"/>
  <c r="M136" i="1"/>
  <c r="M168" i="1"/>
  <c r="M177" i="1"/>
  <c r="M173" i="1"/>
  <c r="M180" i="1"/>
  <c r="M158" i="1"/>
  <c r="M157" i="1"/>
  <c r="M159" i="1"/>
  <c r="M189" i="1"/>
  <c r="M181" i="1"/>
  <c r="M152" i="1"/>
  <c r="M145" i="1"/>
  <c r="M156" i="1"/>
  <c r="M143" i="1"/>
  <c r="M212" i="1"/>
  <c r="M124" i="1"/>
  <c r="M141" i="1"/>
  <c r="M178" i="1"/>
  <c r="M146" i="1"/>
  <c r="M184" i="1"/>
  <c r="M197" i="1"/>
  <c r="M134" i="1"/>
  <c r="M190" i="1"/>
  <c r="M167" i="1"/>
  <c r="M179" i="1"/>
  <c r="M164" i="1"/>
  <c r="M139" i="1"/>
  <c r="M206" i="1"/>
  <c r="M163" i="1"/>
  <c r="M208" i="1"/>
  <c r="M171" i="1"/>
  <c r="M149" i="1"/>
  <c r="M195" i="1"/>
  <c r="M207" i="1"/>
  <c r="M147" i="1"/>
  <c r="M135" i="1"/>
  <c r="M17" i="1"/>
  <c r="M33" i="1"/>
  <c r="M29" i="1"/>
  <c r="M61" i="1"/>
  <c r="M21" i="1"/>
  <c r="M55" i="1"/>
  <c r="M93" i="1"/>
  <c r="M75" i="1"/>
  <c r="M83" i="1"/>
  <c r="M67" i="1"/>
  <c r="M81" i="1"/>
  <c r="M90" i="1"/>
  <c r="M36" i="1"/>
  <c r="M96" i="1"/>
  <c r="M79" i="1"/>
  <c r="M50" i="1"/>
  <c r="M103" i="1"/>
  <c r="M71" i="1"/>
  <c r="M26" i="1"/>
  <c r="M105" i="1"/>
  <c r="M84" i="1"/>
  <c r="M78" i="1"/>
  <c r="M100" i="1"/>
  <c r="M108" i="1"/>
  <c r="M60" i="1"/>
  <c r="M64" i="1"/>
  <c r="M44" i="1"/>
  <c r="M54" i="1"/>
  <c r="M62" i="1"/>
  <c r="M41" i="1"/>
  <c r="M37" i="1"/>
  <c r="M34" i="1"/>
  <c r="M57" i="1"/>
  <c r="M28" i="1"/>
  <c r="M43" i="1"/>
  <c r="M18" i="1"/>
  <c r="M48" i="1"/>
  <c r="M110" i="1"/>
  <c r="M16" i="1"/>
  <c r="M107" i="1"/>
  <c r="M27" i="1"/>
  <c r="M49" i="1"/>
  <c r="M97" i="1"/>
  <c r="M65" i="1"/>
  <c r="M56" i="1"/>
  <c r="M102" i="1"/>
  <c r="M30" i="1"/>
  <c r="M76" i="1"/>
  <c r="M40" i="1"/>
  <c r="M24" i="1"/>
  <c r="M92" i="1"/>
  <c r="M72" i="1"/>
  <c r="M70" i="1"/>
  <c r="M82" i="1"/>
  <c r="M35" i="1"/>
  <c r="M73" i="1"/>
  <c r="M52" i="1"/>
  <c r="M25" i="1"/>
  <c r="M80" i="1"/>
  <c r="M98" i="1"/>
  <c r="M109" i="1"/>
  <c r="M74" i="1"/>
  <c r="M95" i="1"/>
  <c r="M69" i="1"/>
  <c r="M46" i="1"/>
  <c r="M58" i="1"/>
  <c r="M88" i="1"/>
  <c r="M15" i="1"/>
  <c r="M77" i="1"/>
  <c r="M86" i="1"/>
  <c r="M68" i="1"/>
  <c r="M31" i="1"/>
  <c r="M104" i="1"/>
  <c r="M112" i="1"/>
  <c r="M91" i="1"/>
  <c r="M20" i="1"/>
  <c r="M39" i="1"/>
  <c r="M111" i="1"/>
  <c r="M99" i="1"/>
  <c r="M114" i="1"/>
  <c r="M113" i="1"/>
  <c r="M89" i="1"/>
  <c r="M66" i="1"/>
  <c r="M47" i="1"/>
  <c r="M32" i="1"/>
  <c r="M53" i="1"/>
  <c r="M45" i="1"/>
  <c r="M59" i="1"/>
  <c r="M63" i="1"/>
  <c r="M38" i="1"/>
  <c r="M51" i="1"/>
  <c r="M85" i="1"/>
  <c r="M42" i="1"/>
  <c r="M87" i="1"/>
  <c r="M23" i="1"/>
  <c r="M101" i="1"/>
  <c r="M94" i="1"/>
  <c r="M22"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<sst xmlns="http://schemas.openxmlformats.org/spreadsheetml/2006/main" count="820" uniqueCount="131">
  <si>
    <t>Classification and Regression Trees (CART)</t>
  </si>
  <si>
    <t xml:space="preserve">This workbook demonstrates how Classification and Regression Trees (CART) can be built and used entirely within Excel. CART is a simple but powerful method for predicting outcomes by splitting data into progressively purer groups. In true machine learning, CART is automated: the algorithm repeatedly searches for the best splits, grows a tree to a stopping rule, and often prunes it back for generalization. Here, the process is deliberately simplified and made transparent. Instead of a computer building the full tree for you, you step through the logic manually—testing candidate splits, recording the ones you choose, and seeing how each decision affects the predictions. </t>
  </si>
  <si>
    <t>In this workbook:</t>
  </si>
  <si>
    <t>Sheet</t>
  </si>
  <si>
    <t>Contents</t>
  </si>
  <si>
    <t>Data (below)</t>
  </si>
  <si>
    <t>Full project dataset with predictors, outcomes, and helper columns showing node assignments and predictions.</t>
  </si>
  <si>
    <t>Analysis</t>
  </si>
  <si>
    <t>Node sizes, impurity calculations, and candidate splits used to identify the predictor and threshold with the best gain.</t>
  </si>
  <si>
    <t>Decisions</t>
  </si>
  <si>
    <t>Area to record the chosen root and child splits, displaying class counts, majority outcomes, and risk percentages for each leaf.</t>
  </si>
  <si>
    <t>Evaluation</t>
  </si>
  <si>
    <t>Visual diagram of the recorded tree alongside a scoring panel to classify new projects and report their risk of cancellation.</t>
  </si>
  <si>
    <t>Training Data</t>
  </si>
  <si>
    <r>
      <t xml:space="preserve">Here is the training dataset used to build our decision tree. Each row represents a hypothetical past project, and the columns describe its characteristics and outcome. The six predictors are </t>
    </r>
    <r>
      <rPr>
        <i/>
        <sz val="11"/>
        <color theme="1"/>
        <rFont val="Calibri"/>
        <family val="2"/>
        <scheme val="minor"/>
      </rPr>
      <t>Budget</t>
    </r>
    <r>
      <rPr>
        <sz val="11"/>
        <color theme="1"/>
        <rFont val="Calibri"/>
        <family val="2"/>
        <scheme val="minor"/>
      </rPr>
      <t xml:space="preserve">, </t>
    </r>
    <r>
      <rPr>
        <i/>
        <sz val="11"/>
        <color theme="1"/>
        <rFont val="Calibri"/>
        <family val="2"/>
        <scheme val="minor"/>
      </rPr>
      <t>Planned Duration</t>
    </r>
    <r>
      <rPr>
        <sz val="11"/>
        <color theme="1"/>
        <rFont val="Calibri"/>
        <family val="2"/>
        <scheme val="minor"/>
      </rPr>
      <t xml:space="preserve"> (length in months), </t>
    </r>
    <r>
      <rPr>
        <i/>
        <sz val="11"/>
        <color theme="1"/>
        <rFont val="Calibri"/>
        <family val="2"/>
        <scheme val="minor"/>
      </rPr>
      <t>Team Size</t>
    </r>
    <r>
      <rPr>
        <sz val="11"/>
        <color theme="1"/>
        <rFont val="Calibri"/>
        <family val="2"/>
        <scheme val="minor"/>
      </rPr>
      <t xml:space="preserve"> (number of full time staff),</t>
    </r>
    <r>
      <rPr>
        <i/>
        <sz val="11"/>
        <color theme="1"/>
        <rFont val="Calibri"/>
        <family val="2"/>
        <scheme val="minor"/>
      </rPr>
      <t xml:space="preserve"> Schedule Overage</t>
    </r>
    <r>
      <rPr>
        <sz val="11"/>
        <color theme="1"/>
        <rFont val="Calibri"/>
        <family val="2"/>
        <scheme val="minor"/>
      </rPr>
      <t xml:space="preserve"> (how far ahead or behind schedule in days when canceled or completed ), </t>
    </r>
    <r>
      <rPr>
        <i/>
        <sz val="11"/>
        <color theme="1"/>
        <rFont val="Calibri"/>
        <family val="2"/>
        <scheme val="minor"/>
      </rPr>
      <t>Key Staff Turnover</t>
    </r>
    <r>
      <rPr>
        <sz val="11"/>
        <color theme="1"/>
        <rFont val="Calibri"/>
        <family val="2"/>
        <scheme val="minor"/>
      </rPr>
      <t xml:space="preserve"> (Yes/No for loss of key staff), and </t>
    </r>
    <r>
      <rPr>
        <i/>
        <sz val="11"/>
        <color theme="1"/>
        <rFont val="Calibri"/>
        <family val="2"/>
        <scheme val="minor"/>
      </rPr>
      <t>Project Type</t>
    </r>
    <r>
      <rPr>
        <sz val="11"/>
        <color theme="1"/>
        <rFont val="Calibri"/>
        <family val="2"/>
        <scheme val="minor"/>
      </rPr>
      <t xml:space="preserve"> (the categorical type of work). The target variable is </t>
    </r>
    <r>
      <rPr>
        <i/>
        <sz val="11"/>
        <color theme="1"/>
        <rFont val="Calibri"/>
        <family val="2"/>
        <scheme val="minor"/>
      </rPr>
      <t>Canceled</t>
    </r>
    <r>
      <rPr>
        <sz val="11"/>
        <color theme="1"/>
        <rFont val="Calibri"/>
        <family val="2"/>
        <scheme val="minor"/>
      </rPr>
      <t>, which is whether the project was canceled before completion. Additional helper columns show which active node (i.e., group of cases) the case belongs to (</t>
    </r>
    <r>
      <rPr>
        <i/>
        <sz val="11"/>
        <color theme="1"/>
        <rFont val="Calibri"/>
        <family val="2"/>
        <scheme val="minor"/>
      </rPr>
      <t>InNode</t>
    </r>
    <r>
      <rPr>
        <sz val="11"/>
        <color theme="1"/>
        <rFont val="Calibri"/>
        <family val="2"/>
        <scheme val="minor"/>
      </rPr>
      <t>), whether it falls to the left or right of the current split (</t>
    </r>
    <r>
      <rPr>
        <i/>
        <sz val="11"/>
        <color theme="1"/>
        <rFont val="Calibri"/>
        <family val="2"/>
        <scheme val="minor"/>
      </rPr>
      <t>InLeft</t>
    </r>
    <r>
      <rPr>
        <sz val="11"/>
        <color theme="1"/>
        <rFont val="Calibri"/>
        <family val="2"/>
        <scheme val="minor"/>
      </rPr>
      <t xml:space="preserve"> / </t>
    </r>
    <r>
      <rPr>
        <i/>
        <sz val="11"/>
        <color theme="1"/>
        <rFont val="Calibri"/>
        <family val="2"/>
        <scheme val="minor"/>
      </rPr>
      <t>InRight</t>
    </r>
    <r>
      <rPr>
        <sz val="11"/>
        <color theme="1"/>
        <rFont val="Calibri"/>
        <family val="2"/>
        <scheme val="minor"/>
      </rPr>
      <t>), and what class the tree would predict according to the current split being considered (</t>
    </r>
    <r>
      <rPr>
        <i/>
        <sz val="11"/>
        <color theme="1"/>
        <rFont val="Calibri"/>
        <family val="2"/>
        <scheme val="minor"/>
      </rPr>
      <t>Predicted</t>
    </r>
    <r>
      <rPr>
        <sz val="11"/>
        <color theme="1"/>
        <rFont val="Calibri"/>
        <family val="2"/>
        <scheme val="minor"/>
      </rPr>
      <t>) and according to the final split (</t>
    </r>
    <r>
      <rPr>
        <i/>
        <sz val="11"/>
        <color theme="1"/>
        <rFont val="Calibri"/>
        <family val="2"/>
        <scheme val="minor"/>
      </rPr>
      <t>Predicted Final</t>
    </r>
    <r>
      <rPr>
        <sz val="11"/>
        <color theme="1"/>
        <rFont val="Calibri"/>
        <family val="2"/>
        <scheme val="minor"/>
      </rPr>
      <t>). To more deeply explore how the method works, edit the training data (e.g., which projects were canceled), and then go to the Decisions tab to examine and record the new recommended splits.</t>
    </r>
  </si>
  <si>
    <t>Case</t>
  </si>
  <si>
    <t>Budget</t>
  </si>
  <si>
    <t>Planned Duration (months)</t>
  </si>
  <si>
    <t>Team Size (# FTE)</t>
  </si>
  <si>
    <t>Schedule Overage (days)</t>
  </si>
  <si>
    <t>Key Staff Turnover</t>
  </si>
  <si>
    <t>Project Type</t>
  </si>
  <si>
    <t>Canceled</t>
  </si>
  <si>
    <t>InNode</t>
  </si>
  <si>
    <t>RootLeftMask</t>
  </si>
  <si>
    <t>InLeft</t>
  </si>
  <si>
    <t>InRight</t>
  </si>
  <si>
    <t>Predicted</t>
  </si>
  <si>
    <t>Predicted Final</t>
  </si>
  <si>
    <t>No</t>
  </si>
  <si>
    <t>Maintenance</t>
  </si>
  <si>
    <t>Compliance</t>
  </si>
  <si>
    <t>Yes</t>
  </si>
  <si>
    <t>New Feature</t>
  </si>
  <si>
    <t>Infrastructure</t>
  </si>
  <si>
    <r>
      <t>This sheet calculates the key statistics for the active node and evaluates all possible splits. It shows how many projects would fall into left and right branches, the cancellation rate in each, and their impurity measured by the Gini index. Impurity is how mixed a node is; Gini is one way to measure it. The formula is 1−(</t>
    </r>
    <r>
      <rPr>
        <i/>
        <sz val="12"/>
        <rFont val="Calibri"/>
        <family val="2"/>
        <scheme val="minor"/>
      </rPr>
      <t>p</t>
    </r>
    <r>
      <rPr>
        <vertAlign val="superscript"/>
        <sz val="12"/>
        <rFont val="Calibri"/>
        <family val="2"/>
        <scheme val="minor"/>
      </rPr>
      <t>2</t>
    </r>
    <r>
      <rPr>
        <sz val="12"/>
        <rFont val="Calibri"/>
        <family val="2"/>
        <scheme val="minor"/>
      </rPr>
      <t>+(1−</t>
    </r>
    <r>
      <rPr>
        <i/>
        <sz val="12"/>
        <rFont val="Calibri"/>
        <family val="2"/>
        <scheme val="minor"/>
      </rPr>
      <t>p</t>
    </r>
    <r>
      <rPr>
        <sz val="12"/>
        <rFont val="Calibri"/>
        <family val="2"/>
        <scheme val="minor"/>
      </rPr>
      <t>)</t>
    </r>
    <r>
      <rPr>
        <vertAlign val="superscript"/>
        <sz val="12"/>
        <rFont val="Calibri"/>
        <family val="2"/>
        <scheme val="minor"/>
      </rPr>
      <t>2</t>
    </r>
    <r>
      <rPr>
        <sz val="12"/>
        <rFont val="Calibri"/>
        <family val="2"/>
        <scheme val="minor"/>
      </rPr>
      <t xml:space="preserve">), where </t>
    </r>
    <r>
      <rPr>
        <i/>
        <sz val="12"/>
        <rFont val="Calibri"/>
        <family val="2"/>
        <scheme val="minor"/>
      </rPr>
      <t>p</t>
    </r>
    <r>
      <rPr>
        <sz val="12"/>
        <rFont val="Calibri"/>
        <family val="2"/>
        <scheme val="minor"/>
      </rPr>
      <t xml:space="preserve"> is the proportion of projects canceled. A Gini of 0 means the node is perfectly pure (all Canceled = Yes or all Canceled = No), while higher values mean more mixing. By comparing the weighted impurity of child nodes with the parent, the sheet identifies which predictor and threshold provide the best split.</t>
    </r>
  </si>
  <si>
    <t>Active Node</t>
  </si>
  <si>
    <r>
      <rPr>
        <i/>
        <sz val="11"/>
        <color theme="1"/>
        <rFont val="Aptos Narrow"/>
        <family val="2"/>
      </rPr>
      <t xml:space="preserve">← Change which node is being analyzed </t>
    </r>
    <r>
      <rPr>
        <i/>
        <sz val="11"/>
        <color theme="1"/>
        <rFont val="Calibri"/>
        <family val="2"/>
        <scheme val="minor"/>
      </rPr>
      <t>in the Decisions tab</t>
    </r>
  </si>
  <si>
    <t>Parent Node Metrics</t>
  </si>
  <si>
    <t>Number of cases in the active node (Np)</t>
  </si>
  <si>
    <t>Best Gain</t>
  </si>
  <si>
    <t>Best Predictor</t>
  </si>
  <si>
    <t>Best Spec/Category</t>
  </si>
  <si>
    <t>Best Threshold</t>
  </si>
  <si>
    <t>Number of Canceled projects in the node (Np_Yes)</t>
  </si>
  <si>
    <t>The impurity of the node using the Gini formula (GiniParent)</t>
  </si>
  <si>
    <t>Thresholds</t>
  </si>
  <si>
    <t>Here are the candidate thresholds for each numeric variable, generated using percentiles of the data in the active node. These thresholds are tested in the Candidates table to see how well they separate “Canceled = Yes” from “Canceled = No.” In practice, machine learning software would evaluate many thresholds automatically; here, we use a manageable set of candidate values for clarity.</t>
  </si>
  <si>
    <t>Percentiles</t>
  </si>
  <si>
    <t xml:space="preserve"> Budget Thresholds</t>
  </si>
  <si>
    <t>Planned Duration Thresholds</t>
  </si>
  <si>
    <t>Team Size Thresholds</t>
  </si>
  <si>
    <t>Schedule Overage Thresholds</t>
  </si>
  <si>
    <t xml:space="preserve">Candidates </t>
  </si>
  <si>
    <t>This table tests every possible split across all predictors. For each candidate, it calculates the number of rows that would go left and right, the number of cancellations in each branch, and the impurity (measured by Gini). It then computes the Weighted Impurity, which is the impurity of the children averaged by their size, and the Gain, which is how much cleaner the split makes the data compared to the parent node. The split with the largest gain is the best choice for that step. In full CART implementations, this evaluation is done automatically; here you can see the mechanics explicitly.</t>
  </si>
  <si>
    <t>Predictor</t>
  </si>
  <si>
    <t>Specification</t>
  </si>
  <si>
    <t>Threshold/Category</t>
  </si>
  <si>
    <t>Number Left</t>
  </si>
  <si>
    <t>Left Canceled</t>
  </si>
  <si>
    <t>Gini Left</t>
  </si>
  <si>
    <t>Number Right</t>
  </si>
  <si>
    <t>Right Canceled</t>
  </si>
  <si>
    <t>Gini Right</t>
  </si>
  <si>
    <t>Weighted Impurity</t>
  </si>
  <si>
    <t>Gain</t>
  </si>
  <si>
    <t>&lt;= P10</t>
  </si>
  <si>
    <t>&lt;= P20</t>
  </si>
  <si>
    <t>&lt;= P30</t>
  </si>
  <si>
    <t>&lt;= P40</t>
  </si>
  <si>
    <t>&lt;= P50</t>
  </si>
  <si>
    <t>&lt;= P60</t>
  </si>
  <si>
    <t>&lt;= P70</t>
  </si>
  <si>
    <t>&lt;= P80</t>
  </si>
  <si>
    <t>&lt;= P90</t>
  </si>
  <si>
    <t>Planned Duration</t>
  </si>
  <si>
    <t>Team Size</t>
  </si>
  <si>
    <t>Schedule Overage</t>
  </si>
  <si>
    <t>"=Yes"</t>
  </si>
  <si>
    <t>"=New Feature"</t>
  </si>
  <si>
    <t>"=Compliance"</t>
  </si>
  <si>
    <t>"=Maintenance"</t>
  </si>
  <si>
    <t>"=Infrastructure"</t>
  </si>
  <si>
    <t>This sheet is where you lock in the splits you choose to keep. It displays the best split for the active note suggested by the analysis, allows you to record your own choices for the root and child nodes, and automatically computes the majority class and counts in each resulting leaf. This creates a stable decision tree that is also used to generate predictions and to drive the visualization. If you edit the training data, clear out the recorded splits, set the Active Node to "Root", then enter the new Root predictory and threshold/category (if it changed). Once that is recorded, you can do the same for the Left and Right nodes.</t>
  </si>
  <si>
    <t>Root</t>
  </si>
  <si>
    <t>Recorded Splits (enter your chosen splits here)</t>
  </si>
  <si>
    <t>Total</t>
  </si>
  <si>
    <t># Canceled</t>
  </si>
  <si>
    <t>Majority</t>
  </si>
  <si>
    <t>Risk</t>
  </si>
  <si>
    <t>ROOT Predictor</t>
  </si>
  <si>
    <t>Left</t>
  </si>
  <si>
    <t>ROOT Threshold/Category</t>
  </si>
  <si>
    <t>Right</t>
  </si>
  <si>
    <t>Child Node Metrics (within active node)</t>
  </si>
  <si>
    <t>Left Number</t>
  </si>
  <si>
    <t>LEFT child Predictor (optional)</t>
  </si>
  <si>
    <t>Left # Canceled</t>
  </si>
  <si>
    <t>LEFT Threshold/Category</t>
  </si>
  <si>
    <t>Left Majority</t>
  </si>
  <si>
    <t>Right Number</t>
  </si>
  <si>
    <t>RIGHT child Predictor (optional)</t>
  </si>
  <si>
    <t>Right # Canceled</t>
  </si>
  <si>
    <t>RIGHT Threshold/Category</t>
  </si>
  <si>
    <t>Right Majority</t>
  </si>
  <si>
    <t>This sheet evaluates the tree built from your recorded splits and lets you test new projects. The tree's performance statistics indicate how well the recorded splits classify projects compared to the true outcomes. Accuracy reflects overall correctness, while sensitivity and specificity reveal the trade-off between catching cancellations and avoiding false alarms. Enter the characteristics of a new project to see whether the decision tree predicts it's cancelation. The diagram illustrates each branch and leaf with its majority outcome.</t>
  </si>
  <si>
    <t>Performance</t>
  </si>
  <si>
    <t>Predict New Project Outcome</t>
  </si>
  <si>
    <t>Confusion Matrix</t>
  </si>
  <si>
    <t>Accuracy</t>
  </si>
  <si>
    <t>Budget (USD)</t>
  </si>
  <si>
    <t>True Positive</t>
  </si>
  <si>
    <t>False Positive</t>
  </si>
  <si>
    <t>Sensitivity</t>
  </si>
  <si>
    <t>True Negative</t>
  </si>
  <si>
    <t>False Negative</t>
  </si>
  <si>
    <t>Specificity</t>
  </si>
  <si>
    <t>Accuracy indicates the overall percentage correct, but it must be compared to the baseline of always guessing the majority class. Sensitivity measures how many of the cancelled projects the tree successfully flags, while specificity measures how many non-cancelled projects it correctly recognizes. Because this is a small dataset and a simple tree, performance will usually be modest. The goal is to illustrate how splitting improves purity and highlights trade-offs between catching more cancellations and avoiding false alarms.</t>
  </si>
  <si>
    <t>Prediction</t>
  </si>
  <si>
    <t>Cancellation Risk</t>
  </si>
  <si>
    <t>CART Tree (from Recorded Splits)</t>
  </si>
  <si>
    <t>↙</t>
  </si>
  <si>
    <t>↘</t>
  </si>
  <si>
    <r>
      <t xml:space="preserve">LEFT
</t>
    </r>
    <r>
      <rPr>
        <b/>
        <sz val="12"/>
        <color theme="0"/>
        <rFont val="Calibri"/>
        <family val="2"/>
      </rPr>
      <t>(Condition True)</t>
    </r>
  </si>
  <si>
    <r>
      <t xml:space="preserve">RIGHT
</t>
    </r>
    <r>
      <rPr>
        <b/>
        <sz val="12"/>
        <color theme="0"/>
        <rFont val="Calibri"/>
        <family val="2"/>
      </rPr>
      <t>(Condition False)</t>
    </r>
  </si>
  <si>
    <t>↓</t>
  </si>
  <si>
    <r>
      <t xml:space="preserve">LL Leaf 
</t>
    </r>
    <r>
      <rPr>
        <b/>
        <sz val="11"/>
        <color theme="0"/>
        <rFont val="Calibri"/>
        <family val="2"/>
      </rPr>
      <t>(Condition True)</t>
    </r>
  </si>
  <si>
    <r>
      <t xml:space="preserve">LR Leaf
</t>
    </r>
    <r>
      <rPr>
        <b/>
        <sz val="11"/>
        <color theme="0"/>
        <rFont val="Calibri"/>
        <family val="2"/>
      </rPr>
      <t>(Condition False)</t>
    </r>
  </si>
  <si>
    <r>
      <t xml:space="preserve">RL Leaf
</t>
    </r>
    <r>
      <rPr>
        <b/>
        <sz val="11"/>
        <color theme="0"/>
        <rFont val="Calibri"/>
        <family val="2"/>
      </rPr>
      <t>(Condition True)</t>
    </r>
  </si>
  <si>
    <r>
      <t xml:space="preserve">RR Leaf
</t>
    </r>
    <r>
      <rPr>
        <b/>
        <sz val="11"/>
        <color theme="0"/>
        <rFont val="Calibri"/>
        <family val="2"/>
      </rPr>
      <t>(Condition False)</t>
    </r>
  </si>
  <si>
    <t xml:space="preserve">Baseline % of Projects Canceled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</si>
</sst>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quot;$&quot;#,##0.00_);[Red]\(&quot;$&quot;#,##0.00\)"/>
    <numFmt numFmtId="44" formatCode="_(&quot;$&quot;* #,##0.00_);_(&quot;$&quot;* \(#,##0.00\);_(&quot;$&quot;* &quot;-&quot;??_);_(@_)"/>
    <numFmt numFmtId="164" formatCode="&quot;$&quot;#,##0"/>
  </numFmts>
  <fonts count="30" x14ac:knownFonts="1">
    <font>
      <sz val="11"/>
      <color theme="1"/>
      <name val="Calibri"/>
      <family val="2"/>
      <scheme val="minor"/>
    </font>
    <font>
      <b/>
      <sz val="11"/>
      <color theme="1"/>
      <name val="Calibri"/>
      <family val="2"/>
      <scheme val="minor"/>
    </font>
    <font>
      <sz val="11"/>
      <color theme="1"/>
      <name val="Calibri"/>
      <family val="2"/>
      <scheme val="minor"/>
    </font>
    <font>
      <b/>
      <sz val="26"/>
      <color theme="0"/>
      <name val="Calibri"/>
      <family val="2"/>
      <scheme val="minor"/>
    </font>
    <font>
      <b/>
      <sz val="12"/>
      <name val="Calibri"/>
      <family val="2"/>
      <scheme val="minor"/>
    </font>
    <font>
      <sz val="12"/>
      <name val="Calibri"/>
      <family val="2"/>
      <scheme val="minor"/>
    </font>
    <font>
      <sz val="12"/>
      <color theme="0"/>
      <name val="Calibri"/>
      <family val="2"/>
      <scheme val="minor"/>
    </font>
    <font>
      <b/>
      <sz val="16"/>
      <color theme="0"/>
      <name val="Calibri"/>
      <family val="2"/>
      <scheme val="minor"/>
    </font>
    <font>
      <sz val="11"/>
      <name val="Calibri"/>
      <family val="2"/>
      <scheme val="minor"/>
    </font>
    <font>
      <b/>
      <sz val="14"/>
      <color theme="0"/>
      <name val="Calibri"/>
      <family val="2"/>
      <scheme val="minor"/>
    </font>
    <font>
      <b/>
      <sz val="12"/>
      <color theme="0"/>
      <name val="Calibri"/>
      <family val="2"/>
      <scheme val="minor"/>
    </font>
    <font>
      <vertAlign val="superscript"/>
      <sz val="12"/>
      <name val="Calibri"/>
      <family val="2"/>
      <scheme val="minor"/>
    </font>
    <font>
      <sz val="12"/>
      <color theme="1"/>
      <name val="Calibri"/>
      <family val="2"/>
      <scheme val="minor"/>
    </font>
    <font>
      <b/>
      <sz val="36"/>
      <color theme="4"/>
      <name val="Aptos Narrow"/>
      <family val="2"/>
    </font>
    <font>
      <b/>
      <sz val="14"/>
      <color theme="0"/>
      <name val="Calibri"/>
      <family val="2"/>
    </font>
    <font>
      <b/>
      <sz val="16"/>
      <color theme="0"/>
      <name val="Calibri"/>
      <family val="2"/>
    </font>
    <font>
      <i/>
      <sz val="11"/>
      <color theme="1"/>
      <name val="Calibri"/>
      <family val="2"/>
      <scheme val="minor"/>
    </font>
    <font>
      <b/>
      <sz val="12"/>
      <color theme="1"/>
      <name val="Calibri"/>
      <family val="2"/>
      <scheme val="minor"/>
    </font>
    <font>
      <sz val="14"/>
      <color theme="1"/>
      <name val="Calibri"/>
      <family val="2"/>
      <scheme val="minor"/>
    </font>
    <font>
      <b/>
      <sz val="18"/>
      <color theme="0"/>
      <name val="Calibri"/>
      <family val="2"/>
    </font>
    <font>
      <sz val="16"/>
      <color theme="1"/>
      <name val="Calibri"/>
      <family val="2"/>
      <scheme val="minor"/>
    </font>
    <font>
      <b/>
      <sz val="28"/>
      <color theme="4"/>
      <name val="Aptos Narrow"/>
      <family val="2"/>
    </font>
    <font>
      <sz val="28"/>
      <color theme="1"/>
      <name val="Calibri"/>
      <family val="2"/>
      <scheme val="minor"/>
    </font>
    <font>
      <b/>
      <sz val="16"/>
      <name val="Calibri"/>
      <family val="2"/>
    </font>
    <font>
      <b/>
      <sz val="11"/>
      <name val="Calibri"/>
      <family val="2"/>
      <scheme val="minor"/>
    </font>
    <font>
      <b/>
      <sz val="12"/>
      <color theme="0"/>
      <name val="Calibri"/>
      <family val="2"/>
    </font>
    <font>
      <b/>
      <sz val="11"/>
      <color theme="0"/>
      <name val="Calibri"/>
      <family val="2"/>
    </font>
    <font>
      <i/>
      <sz val="11"/>
      <color theme="1"/>
      <name val="Aptos Narrow"/>
      <family val="2"/>
    </font>
    <font>
      <b/>
      <sz val="14"/>
      <color theme="1"/>
      <name val="Calibri"/>
      <family val="2"/>
      <scheme val="minor"/>
    </font>
    <font>
      <i/>
      <sz val="12"/>
      <name val="Calibri"/>
      <family val="2"/>
      <scheme val="minor"/>
    </font>
  </fonts>
  <fills count="11">
    <fill>
      <patternFill patternType="none"/>
    </fill>
    <fill>
      <patternFill patternType="gray125"/>
    </fill>
    <fill>
      <patternFill patternType="solid">
        <fgColor rgb="FF002060"/>
        <bgColor indexed="64"/>
      </patternFill>
    </fill>
    <fill>
      <patternFill patternType="solid">
        <fgColor theme="0"/>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4" tint="0.39997558519241921"/>
        <bgColor indexed="64"/>
      </patternFill>
    </fill>
    <fill>
      <patternFill patternType="solid">
        <fgColor theme="4" tint="0.59999389629810485"/>
        <bgColor indexed="64"/>
      </patternFill>
    </fill>
  </fills>
  <borders count="5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medium">
        <color indexed="64"/>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style="medium">
        <color indexed="64"/>
      </right>
      <top style="thin">
        <color theme="0"/>
      </top>
      <bottom style="thin">
        <color theme="0"/>
      </bottom>
      <diagonal/>
    </border>
    <border>
      <left style="medium">
        <color indexed="64"/>
      </left>
      <right style="thin">
        <color theme="0"/>
      </right>
      <top style="thin">
        <color theme="0"/>
      </top>
      <bottom style="medium">
        <color indexed="64"/>
      </bottom>
      <diagonal/>
    </border>
    <border>
      <left style="thin">
        <color theme="0"/>
      </left>
      <right style="thin">
        <color theme="0"/>
      </right>
      <top style="thin">
        <color theme="0"/>
      </top>
      <bottom style="medium">
        <color indexed="64"/>
      </bottom>
      <diagonal/>
    </border>
    <border>
      <left style="thin">
        <color theme="0"/>
      </left>
      <right style="medium">
        <color indexed="64"/>
      </right>
      <top style="thin">
        <color theme="0"/>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medium">
        <color indexed="64"/>
      </bottom>
      <diagonal/>
    </border>
    <border>
      <left style="thin">
        <color indexed="64"/>
      </left>
      <right style="medium">
        <color indexed="64"/>
      </right>
      <top/>
      <bottom style="thin">
        <color indexed="64"/>
      </bottom>
      <diagonal/>
    </border>
    <border>
      <left style="medium">
        <color indexed="64"/>
      </left>
      <right/>
      <top style="thin">
        <color theme="0"/>
      </top>
      <bottom style="thin">
        <color theme="0"/>
      </bottom>
      <diagonal/>
    </border>
    <border>
      <left style="medium">
        <color indexed="64"/>
      </left>
      <right/>
      <top style="thin">
        <color theme="0"/>
      </top>
      <bottom style="medium">
        <color indexed="64"/>
      </bottom>
      <diagonal/>
    </border>
    <border>
      <left style="medium">
        <color indexed="64"/>
      </left>
      <right/>
      <top/>
      <bottom style="thin">
        <color theme="0"/>
      </bottom>
      <diagonal/>
    </border>
    <border>
      <left style="medium">
        <color indexed="64"/>
      </left>
      <right style="thin">
        <color theme="0"/>
      </right>
      <top style="medium">
        <color indexed="64"/>
      </top>
      <bottom style="thin">
        <color theme="0"/>
      </bottom>
      <diagonal/>
    </border>
    <border>
      <left style="thin">
        <color theme="0"/>
      </left>
      <right style="thin">
        <color theme="0"/>
      </right>
      <top style="medium">
        <color indexed="64"/>
      </top>
      <bottom style="thin">
        <color theme="0"/>
      </bottom>
      <diagonal/>
    </border>
    <border>
      <left style="thin">
        <color theme="0"/>
      </left>
      <right style="medium">
        <color indexed="64"/>
      </right>
      <top style="medium">
        <color indexed="64"/>
      </top>
      <bottom style="thin">
        <color theme="0"/>
      </bottom>
      <diagonal/>
    </border>
  </borders>
  <cellStyleXfs count="3">
    <xf numFmtId="0" fontId="0" fillId="0" borderId="0"/>
    <xf numFmtId="44" fontId="2" fillId="0" borderId="0" applyFont="0" applyFill="0" applyBorder="0" applyAlignment="0" applyProtection="0"/>
    <xf numFmtId="9" fontId="2" fillId="0" borderId="0" applyFont="0" applyFill="0" applyBorder="0" applyAlignment="0" applyProtection="0"/>
  </cellStyleXfs>
  <cellXfs count="253">
    <xf numFmtId="0" fontId="0" fillId="0" borderId="0" xfId="0"/>
    <xf numFmtId="0" fontId="0" fillId="0" borderId="0" xfId="0" applyAlignment="1">
      <alignment horizontal="center" vertical="center" wrapText="1"/>
    </xf>
    <xf numFmtId="0" fontId="1" fillId="0" borderId="0" xfId="0" applyFont="1"/>
    <xf numFmtId="0" fontId="0" fillId="3" borderId="1" xfId="0" applyFill="1" applyBorder="1"/>
    <xf numFmtId="0" fontId="0" fillId="0" borderId="2" xfId="0" applyBorder="1"/>
    <xf numFmtId="0" fontId="4" fillId="3" borderId="2" xfId="0" applyFont="1" applyFill="1" applyBorder="1" applyAlignment="1" applyProtection="1">
      <alignment vertical="center" wrapText="1"/>
      <protection locked="0"/>
    </xf>
    <xf numFmtId="0" fontId="5" fillId="3" borderId="2" xfId="0" applyFont="1" applyFill="1" applyBorder="1" applyAlignment="1" applyProtection="1">
      <alignment vertical="center" wrapText="1"/>
      <protection locked="0"/>
    </xf>
    <xf numFmtId="0" fontId="0" fillId="0" borderId="0" xfId="0" applyAlignment="1">
      <alignment vertical="center"/>
    </xf>
    <xf numFmtId="0" fontId="0" fillId="0" borderId="0" xfId="0" applyAlignment="1">
      <alignment horizontal="center" vertical="center"/>
    </xf>
    <xf numFmtId="0" fontId="0" fillId="3" borderId="0" xfId="0" applyFill="1"/>
    <xf numFmtId="0" fontId="0" fillId="0" borderId="0" xfId="0" applyAlignment="1">
      <alignment wrapText="1"/>
    </xf>
    <xf numFmtId="0" fontId="0" fillId="0" borderId="0" xfId="0" applyAlignment="1">
      <alignment horizontal="left" vertical="center" wrapText="1" indent="1"/>
    </xf>
    <xf numFmtId="0" fontId="0" fillId="3" borderId="0" xfId="0" applyFill="1" applyAlignment="1">
      <alignment horizontal="center" vertical="center"/>
    </xf>
    <xf numFmtId="0" fontId="1" fillId="0" borderId="0" xfId="0" applyFont="1" applyAlignment="1">
      <alignment wrapText="1"/>
    </xf>
    <xf numFmtId="0" fontId="0" fillId="4" borderId="12" xfId="0" applyFill="1" applyBorder="1" applyAlignment="1">
      <alignment horizontal="center" vertical="center" wrapText="1"/>
    </xf>
    <xf numFmtId="0" fontId="0" fillId="5" borderId="13" xfId="0" applyFill="1" applyBorder="1" applyAlignment="1">
      <alignment horizontal="center" vertical="center"/>
    </xf>
    <xf numFmtId="0" fontId="0" fillId="4" borderId="14" xfId="0" applyFill="1" applyBorder="1" applyAlignment="1">
      <alignment horizontal="center" vertical="center" wrapText="1"/>
    </xf>
    <xf numFmtId="0" fontId="0" fillId="5" borderId="15" xfId="0" applyFill="1" applyBorder="1" applyAlignment="1">
      <alignment horizontal="center" vertical="center"/>
    </xf>
    <xf numFmtId="0" fontId="0" fillId="4" borderId="16" xfId="0" applyFill="1" applyBorder="1" applyAlignment="1">
      <alignment horizontal="center" vertical="center" wrapText="1"/>
    </xf>
    <xf numFmtId="0" fontId="0" fillId="5" borderId="17" xfId="0" applyFill="1" applyBorder="1" applyAlignment="1">
      <alignment horizontal="center" vertical="center"/>
    </xf>
    <xf numFmtId="0" fontId="9" fillId="2" borderId="1" xfId="0" applyFont="1" applyFill="1" applyBorder="1" applyAlignment="1">
      <alignment horizontal="center" vertical="center"/>
    </xf>
    <xf numFmtId="0" fontId="0" fillId="0" borderId="4" xfId="0" applyBorder="1" applyAlignment="1">
      <alignment horizontal="center" vertical="center"/>
    </xf>
    <xf numFmtId="0" fontId="0" fillId="0" borderId="9" xfId="0"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xf numFmtId="0" fontId="0" fillId="0" borderId="10" xfId="0" applyBorder="1" applyAlignment="1">
      <alignment horizontal="center" vertical="center"/>
    </xf>
    <xf numFmtId="0" fontId="0" fillId="0" borderId="0" xfId="0" quotePrefix="1" applyAlignment="1">
      <alignment horizontal="center" vertical="center" wrapText="1"/>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3" xfId="0" applyFont="1" applyFill="1" applyBorder="1" applyAlignment="1">
      <alignment horizontal="center" vertical="center"/>
    </xf>
    <xf numFmtId="0" fontId="12" fillId="4" borderId="16" xfId="0" applyFont="1" applyFill="1" applyBorder="1" applyAlignment="1">
      <alignment horizontal="center" vertical="center"/>
    </xf>
    <xf numFmtId="0" fontId="12" fillId="4" borderId="19" xfId="0" applyFont="1" applyFill="1" applyBorder="1" applyAlignment="1">
      <alignment horizontal="center" vertical="center"/>
    </xf>
    <xf numFmtId="0" fontId="12" fillId="4" borderId="17" xfId="0" applyFont="1" applyFill="1" applyBorder="1" applyAlignment="1">
      <alignment horizontal="center" vertical="center"/>
    </xf>
    <xf numFmtId="0" fontId="12" fillId="0" borderId="0" xfId="0" applyFont="1" applyAlignment="1">
      <alignment horizontal="center" vertical="center"/>
    </xf>
    <xf numFmtId="0" fontId="10" fillId="2" borderId="20" xfId="0" applyFont="1" applyFill="1" applyBorder="1" applyAlignment="1">
      <alignment horizontal="center" vertical="center"/>
    </xf>
    <xf numFmtId="0" fontId="10" fillId="2" borderId="4" xfId="0" applyFont="1" applyFill="1" applyBorder="1" applyAlignment="1">
      <alignment horizontal="center" vertical="center"/>
    </xf>
    <xf numFmtId="0" fontId="10" fillId="2" borderId="5" xfId="0" applyFont="1" applyFill="1" applyBorder="1" applyAlignment="1">
      <alignment horizontal="center" vertical="center"/>
    </xf>
    <xf numFmtId="0" fontId="12" fillId="7" borderId="21" xfId="0" applyFont="1" applyFill="1" applyBorder="1" applyAlignment="1">
      <alignment horizontal="center" vertical="center"/>
    </xf>
    <xf numFmtId="0" fontId="12" fillId="4" borderId="22" xfId="0" applyFont="1" applyFill="1" applyBorder="1" applyAlignment="1">
      <alignment horizontal="center" vertical="center"/>
    </xf>
    <xf numFmtId="0" fontId="12" fillId="4" borderId="23" xfId="0" applyFont="1" applyFill="1" applyBorder="1" applyAlignment="1">
      <alignment horizontal="center" vertical="center"/>
    </xf>
    <xf numFmtId="0" fontId="12" fillId="4" borderId="24" xfId="0" applyFont="1" applyFill="1" applyBorder="1" applyAlignment="1">
      <alignment horizontal="center" vertical="center"/>
    </xf>
    <xf numFmtId="0" fontId="10" fillId="2" borderId="25" xfId="0" applyFont="1" applyFill="1" applyBorder="1" applyAlignment="1">
      <alignment horizontal="center" vertical="center"/>
    </xf>
    <xf numFmtId="0" fontId="10" fillId="2" borderId="26" xfId="0" applyFont="1" applyFill="1" applyBorder="1" applyAlignment="1">
      <alignment horizontal="center" vertical="center"/>
    </xf>
    <xf numFmtId="0" fontId="10" fillId="2" borderId="27" xfId="0" applyFont="1" applyFill="1" applyBorder="1" applyAlignment="1">
      <alignment horizontal="center" vertical="center"/>
    </xf>
    <xf numFmtId="0" fontId="12" fillId="4" borderId="12" xfId="0" applyFont="1" applyFill="1" applyBorder="1" applyAlignment="1">
      <alignment horizontal="center" vertical="center"/>
    </xf>
    <xf numFmtId="0" fontId="12" fillId="6" borderId="13" xfId="0" applyFont="1" applyFill="1" applyBorder="1" applyAlignment="1">
      <alignment horizontal="center" vertical="center"/>
    </xf>
    <xf numFmtId="0" fontId="12" fillId="4" borderId="14" xfId="0" applyFont="1" applyFill="1" applyBorder="1" applyAlignment="1">
      <alignment horizontal="center" vertical="center"/>
    </xf>
    <xf numFmtId="0" fontId="12" fillId="6" borderId="15" xfId="0" applyFont="1" applyFill="1" applyBorder="1" applyAlignment="1">
      <alignment horizontal="center" vertical="center"/>
    </xf>
    <xf numFmtId="0" fontId="12" fillId="6" borderId="17" xfId="0" applyFont="1" applyFill="1" applyBorder="1" applyAlignment="1">
      <alignment horizontal="center" vertical="center"/>
    </xf>
    <xf numFmtId="0" fontId="12" fillId="7" borderId="28" xfId="0" applyFont="1" applyFill="1" applyBorder="1" applyAlignment="1">
      <alignment horizontal="center" vertical="center"/>
    </xf>
    <xf numFmtId="0" fontId="12" fillId="7" borderId="29" xfId="0" applyFont="1" applyFill="1" applyBorder="1" applyAlignment="1">
      <alignment horizontal="center" vertical="center"/>
    </xf>
    <xf numFmtId="0" fontId="12" fillId="2" borderId="4" xfId="0" applyFont="1" applyFill="1" applyBorder="1" applyAlignment="1">
      <alignment horizontal="center" vertical="center"/>
    </xf>
    <xf numFmtId="0" fontId="6" fillId="2" borderId="9" xfId="0" applyFont="1" applyFill="1" applyBorder="1" applyAlignment="1">
      <alignment horizontal="center" vertical="center"/>
    </xf>
    <xf numFmtId="0" fontId="12" fillId="2" borderId="9" xfId="0" applyFont="1" applyFill="1" applyBorder="1" applyAlignment="1">
      <alignment horizontal="center" vertical="center"/>
    </xf>
    <xf numFmtId="0" fontId="0" fillId="3" borderId="1" xfId="0" applyFill="1" applyBorder="1" applyAlignment="1">
      <alignment vertical="center"/>
    </xf>
    <xf numFmtId="0" fontId="0" fillId="0" borderId="2" xfId="0" applyBorder="1" applyAlignment="1">
      <alignment vertical="center"/>
    </xf>
    <xf numFmtId="0" fontId="10" fillId="2" borderId="6" xfId="0" applyFont="1" applyFill="1" applyBorder="1" applyAlignment="1">
      <alignment horizontal="center" vertical="center"/>
    </xf>
    <xf numFmtId="0" fontId="0" fillId="2" borderId="4" xfId="0" applyFill="1" applyBorder="1" applyAlignment="1">
      <alignment horizontal="center" vertical="center"/>
    </xf>
    <xf numFmtId="0" fontId="0" fillId="2" borderId="0" xfId="0" applyFill="1" applyAlignment="1">
      <alignment horizontal="center" vertical="center"/>
    </xf>
    <xf numFmtId="0" fontId="0" fillId="2" borderId="9" xfId="0" applyFill="1" applyBorder="1" applyAlignment="1">
      <alignment horizontal="center" vertical="center"/>
    </xf>
    <xf numFmtId="0" fontId="0" fillId="8" borderId="0" xfId="0" applyFill="1" applyAlignment="1">
      <alignment horizontal="center" vertical="center"/>
    </xf>
    <xf numFmtId="0" fontId="0" fillId="6" borderId="0" xfId="0" applyFill="1" applyAlignment="1">
      <alignment horizontal="center" vertical="center"/>
    </xf>
    <xf numFmtId="0" fontId="0" fillId="0" borderId="4" xfId="0" applyBorder="1"/>
    <xf numFmtId="0" fontId="0" fillId="0" borderId="9" xfId="0" applyBorder="1"/>
    <xf numFmtId="0" fontId="0" fillId="0" borderId="5" xfId="0" applyBorder="1"/>
    <xf numFmtId="0" fontId="0" fillId="0" borderId="6" xfId="0" applyBorder="1"/>
    <xf numFmtId="0" fontId="0" fillId="0" borderId="10" xfId="0" applyBorder="1"/>
    <xf numFmtId="0" fontId="0" fillId="4" borderId="28" xfId="0" applyFill="1" applyBorder="1" applyAlignment="1">
      <alignment horizontal="center" vertical="center"/>
    </xf>
    <xf numFmtId="0" fontId="0" fillId="6" borderId="19" xfId="0" applyFill="1" applyBorder="1" applyAlignment="1">
      <alignment horizontal="center" vertical="center"/>
    </xf>
    <xf numFmtId="0" fontId="0" fillId="4" borderId="30" xfId="0" applyFill="1" applyBorder="1" applyAlignment="1">
      <alignment horizontal="center" vertical="center"/>
    </xf>
    <xf numFmtId="0" fontId="0" fillId="4" borderId="29" xfId="0" applyFill="1" applyBorder="1" applyAlignment="1">
      <alignment horizontal="center" vertical="center"/>
    </xf>
    <xf numFmtId="0" fontId="0" fillId="6" borderId="0" xfId="1" applyNumberFormat="1" applyFont="1" applyFill="1" applyBorder="1" applyAlignment="1">
      <alignment horizontal="center" vertical="center"/>
    </xf>
    <xf numFmtId="0" fontId="0" fillId="6" borderId="17" xfId="0" applyFill="1" applyBorder="1" applyAlignment="1">
      <alignment horizontal="center" vertical="center"/>
    </xf>
    <xf numFmtId="0" fontId="10" fillId="2" borderId="0" xfId="0" applyFont="1" applyFill="1" applyAlignment="1">
      <alignment horizontal="center" vertical="center"/>
    </xf>
    <xf numFmtId="0" fontId="0" fillId="0" borderId="11" xfId="0" applyBorder="1"/>
    <xf numFmtId="0" fontId="0" fillId="0" borderId="7" xfId="0" applyBorder="1"/>
    <xf numFmtId="8" fontId="0" fillId="0" borderId="0" xfId="0" applyNumberFormat="1" applyAlignment="1">
      <alignment horizontal="center" vertical="center"/>
    </xf>
    <xf numFmtId="8" fontId="0" fillId="0" borderId="0" xfId="1" applyNumberFormat="1" applyFont="1" applyBorder="1" applyAlignment="1">
      <alignment horizontal="center" vertical="center"/>
    </xf>
    <xf numFmtId="0" fontId="18" fillId="0" borderId="0" xfId="0" applyFont="1" applyAlignment="1">
      <alignment horizontal="center" vertical="center" wrapText="1"/>
    </xf>
    <xf numFmtId="0" fontId="13" fillId="0" borderId="0" xfId="0" applyFont="1" applyAlignment="1">
      <alignment horizontal="center" vertical="center" wrapText="1"/>
    </xf>
    <xf numFmtId="0" fontId="22" fillId="0" borderId="0" xfId="0" applyFont="1"/>
    <xf numFmtId="0" fontId="21" fillId="0" borderId="0" xfId="0" applyFont="1" applyAlignment="1">
      <alignment horizontal="center" vertical="center" wrapText="1"/>
    </xf>
    <xf numFmtId="0" fontId="22" fillId="0" borderId="0" xfId="0" applyFont="1" applyAlignment="1">
      <alignment horizontal="center" vertical="center" wrapText="1"/>
    </xf>
    <xf numFmtId="0" fontId="6" fillId="2" borderId="0" xfId="0" applyFont="1" applyFill="1" applyAlignment="1">
      <alignment horizontal="center" vertical="center"/>
    </xf>
    <xf numFmtId="0" fontId="12" fillId="2" borderId="0" xfId="0" applyFont="1" applyFill="1" applyAlignment="1">
      <alignment horizontal="center" vertical="center"/>
    </xf>
    <xf numFmtId="0" fontId="12" fillId="4" borderId="40" xfId="0" applyFont="1" applyFill="1" applyBorder="1" applyAlignment="1">
      <alignment horizontal="center" vertical="center"/>
    </xf>
    <xf numFmtId="9" fontId="12" fillId="4" borderId="15" xfId="2" applyFont="1" applyFill="1" applyBorder="1" applyAlignment="1">
      <alignment horizontal="center" vertical="center"/>
    </xf>
    <xf numFmtId="9" fontId="12" fillId="4" borderId="17" xfId="2" applyFont="1" applyFill="1" applyBorder="1" applyAlignment="1">
      <alignment horizontal="center" vertical="center"/>
    </xf>
    <xf numFmtId="0" fontId="0" fillId="6" borderId="41" xfId="0" applyFill="1" applyBorder="1" applyAlignment="1">
      <alignment horizontal="center" vertical="center"/>
    </xf>
    <xf numFmtId="0" fontId="0" fillId="6" borderId="43" xfId="0" applyFill="1" applyBorder="1" applyAlignment="1">
      <alignment horizontal="center" vertical="center"/>
    </xf>
    <xf numFmtId="0" fontId="1" fillId="0" borderId="0" xfId="0" applyFont="1" applyAlignment="1">
      <alignment horizontal="center"/>
    </xf>
    <xf numFmtId="0" fontId="12" fillId="6" borderId="21" xfId="0" applyFont="1" applyFill="1" applyBorder="1" applyAlignment="1">
      <alignment horizontal="center" vertical="center"/>
    </xf>
    <xf numFmtId="0" fontId="12" fillId="10" borderId="12" xfId="0" applyFont="1" applyFill="1" applyBorder="1" applyAlignment="1">
      <alignment horizontal="center" vertical="center"/>
    </xf>
    <xf numFmtId="0" fontId="12" fillId="10" borderId="14" xfId="0" applyFont="1" applyFill="1" applyBorder="1" applyAlignment="1">
      <alignment horizontal="center" vertical="center"/>
    </xf>
    <xf numFmtId="0" fontId="12" fillId="10" borderId="16" xfId="0" applyFont="1" applyFill="1" applyBorder="1" applyAlignment="1">
      <alignment horizontal="center" vertical="center"/>
    </xf>
    <xf numFmtId="0" fontId="17" fillId="10" borderId="46" xfId="0" applyFont="1" applyFill="1" applyBorder="1" applyAlignment="1">
      <alignment horizontal="center" vertical="center"/>
    </xf>
    <xf numFmtId="0" fontId="17" fillId="4" borderId="44" xfId="0" applyFont="1" applyFill="1" applyBorder="1" applyAlignment="1">
      <alignment horizontal="center" vertical="center"/>
    </xf>
    <xf numFmtId="0" fontId="17" fillId="10" borderId="44" xfId="0" applyFont="1" applyFill="1" applyBorder="1" applyAlignment="1">
      <alignment horizontal="center" vertical="center"/>
    </xf>
    <xf numFmtId="0" fontId="17" fillId="4" borderId="45" xfId="0" applyFont="1" applyFill="1" applyBorder="1" applyAlignment="1">
      <alignment horizontal="center" vertical="center"/>
    </xf>
    <xf numFmtId="0" fontId="0" fillId="0" borderId="1" xfId="0" applyBorder="1" applyAlignment="1">
      <alignment horizontal="left" vertical="center" wrapText="1" indent="1"/>
    </xf>
    <xf numFmtId="0" fontId="0" fillId="0" borderId="2" xfId="0" applyBorder="1" applyAlignment="1">
      <alignment horizontal="left" vertical="center" wrapText="1" indent="1"/>
    </xf>
    <xf numFmtId="0" fontId="0" fillId="0" borderId="3" xfId="0" applyBorder="1" applyAlignment="1">
      <alignment horizontal="left" vertical="center" wrapText="1" indent="1"/>
    </xf>
    <xf numFmtId="0" fontId="3" fillId="2" borderId="11" xfId="0" applyFont="1" applyFill="1" applyBorder="1" applyAlignment="1" applyProtection="1">
      <alignment horizontal="left" vertical="center" wrapText="1" indent="1"/>
      <protection locked="0"/>
    </xf>
    <xf numFmtId="0" fontId="3" fillId="2" borderId="7" xfId="0" applyFont="1" applyFill="1" applyBorder="1" applyAlignment="1" applyProtection="1">
      <alignment horizontal="left" vertical="center" wrapText="1" indent="1"/>
      <protection locked="0"/>
    </xf>
    <xf numFmtId="0" fontId="3" fillId="2" borderId="8" xfId="0" applyFont="1" applyFill="1" applyBorder="1" applyAlignment="1" applyProtection="1">
      <alignment horizontal="left" vertical="center" wrapText="1" indent="1"/>
      <protection locked="0"/>
    </xf>
    <xf numFmtId="0" fontId="5" fillId="3" borderId="2" xfId="0" applyFont="1" applyFill="1" applyBorder="1" applyAlignment="1" applyProtection="1">
      <alignment vertical="center" wrapText="1"/>
      <protection locked="0"/>
    </xf>
    <xf numFmtId="0" fontId="5" fillId="3" borderId="3" xfId="0" applyFont="1" applyFill="1" applyBorder="1" applyAlignment="1" applyProtection="1">
      <alignment vertical="center" wrapText="1"/>
      <protection locked="0"/>
    </xf>
    <xf numFmtId="0" fontId="7" fillId="2" borderId="4" xfId="0" applyFont="1" applyFill="1" applyBorder="1" applyAlignment="1">
      <alignment horizontal="center" vertical="center"/>
    </xf>
    <xf numFmtId="0" fontId="7" fillId="2" borderId="0" xfId="0" applyFont="1" applyFill="1" applyAlignment="1">
      <alignment horizontal="center" vertical="center"/>
    </xf>
    <xf numFmtId="0" fontId="28" fillId="9" borderId="25" xfId="0" applyFont="1" applyFill="1" applyBorder="1" applyAlignment="1">
      <alignment horizontal="center" vertical="center" wrapText="1"/>
    </xf>
    <xf numFmtId="0" fontId="28" fillId="9" borderId="26" xfId="0" applyFont="1" applyFill="1" applyBorder="1" applyAlignment="1">
      <alignment horizontal="center" vertical="center" wrapText="1"/>
    </xf>
    <xf numFmtId="0" fontId="28" fillId="9" borderId="27" xfId="0" applyFont="1" applyFill="1" applyBorder="1" applyAlignment="1">
      <alignment horizontal="center" vertical="center" wrapText="1"/>
    </xf>
    <xf numFmtId="0" fontId="9" fillId="2" borderId="2" xfId="0" applyFont="1" applyFill="1" applyBorder="1" applyAlignment="1">
      <alignment horizontal="center" vertical="center"/>
    </xf>
    <xf numFmtId="0" fontId="9" fillId="2" borderId="3" xfId="0" applyFont="1" applyFill="1" applyBorder="1" applyAlignment="1">
      <alignment horizontal="center" vertical="center"/>
    </xf>
    <xf numFmtId="0" fontId="12" fillId="8" borderId="47" xfId="0" applyFont="1" applyFill="1" applyBorder="1" applyAlignment="1">
      <alignment horizontal="center" vertical="center"/>
    </xf>
    <xf numFmtId="0" fontId="12" fillId="8" borderId="48" xfId="0" applyFont="1" applyFill="1" applyBorder="1" applyAlignment="1">
      <alignment horizontal="center" vertical="center"/>
    </xf>
    <xf numFmtId="0" fontId="12" fillId="8" borderId="49" xfId="0" applyFont="1" applyFill="1" applyBorder="1" applyAlignment="1">
      <alignment horizontal="center" vertical="center"/>
    </xf>
    <xf numFmtId="0" fontId="12" fillId="6" borderId="33" xfId="0" applyFont="1" applyFill="1" applyBorder="1" applyAlignment="1">
      <alignment horizontal="center" vertical="center"/>
    </xf>
    <xf numFmtId="0" fontId="12" fillId="6" borderId="34" xfId="0" applyFont="1" applyFill="1" applyBorder="1" applyAlignment="1">
      <alignment horizontal="center" vertical="center"/>
    </xf>
    <xf numFmtId="0" fontId="12" fillId="6" borderId="35" xfId="0" applyFont="1" applyFill="1" applyBorder="1" applyAlignment="1">
      <alignment horizontal="center" vertical="center"/>
    </xf>
    <xf numFmtId="0" fontId="12" fillId="8" borderId="33" xfId="0" applyFont="1" applyFill="1" applyBorder="1" applyAlignment="1">
      <alignment horizontal="center" vertical="center"/>
    </xf>
    <xf numFmtId="0" fontId="12" fillId="8" borderId="34" xfId="0" applyFont="1" applyFill="1" applyBorder="1" applyAlignment="1">
      <alignment horizontal="center" vertical="center"/>
    </xf>
    <xf numFmtId="0" fontId="12" fillId="8" borderId="35" xfId="0" applyFont="1" applyFill="1" applyBorder="1" applyAlignment="1">
      <alignment horizontal="center" vertical="center"/>
    </xf>
    <xf numFmtId="0" fontId="12" fillId="6" borderId="36" xfId="0" applyFont="1" applyFill="1" applyBorder="1" applyAlignment="1">
      <alignment horizontal="center" vertical="center"/>
    </xf>
    <xf numFmtId="0" fontId="12" fillId="6" borderId="37" xfId="0" applyFont="1" applyFill="1" applyBorder="1" applyAlignment="1">
      <alignment horizontal="center" vertical="center"/>
    </xf>
    <xf numFmtId="0" fontId="12" fillId="6" borderId="38" xfId="0" applyFont="1" applyFill="1" applyBorder="1" applyAlignment="1">
      <alignment horizontal="center" vertical="center"/>
    </xf>
    <xf numFmtId="0" fontId="9" fillId="2" borderId="1" xfId="0" applyFont="1" applyFill="1" applyBorder="1" applyAlignment="1">
      <alignment horizontal="center" vertical="center"/>
    </xf>
    <xf numFmtId="0" fontId="16" fillId="0" borderId="4" xfId="0" applyFont="1" applyBorder="1" applyAlignment="1">
      <alignment horizontal="left" vertical="center" indent="1"/>
    </xf>
    <xf numFmtId="0" fontId="16" fillId="0" borderId="0" xfId="0" applyFont="1" applyAlignment="1">
      <alignment horizontal="left" vertical="center" indent="1"/>
    </xf>
    <xf numFmtId="0" fontId="3" fillId="2" borderId="1" xfId="0" applyFont="1" applyFill="1" applyBorder="1" applyAlignment="1" applyProtection="1">
      <alignment horizontal="left" vertical="center" wrapText="1" indent="1"/>
      <protection locked="0"/>
    </xf>
    <xf numFmtId="0" fontId="3" fillId="2" borderId="2" xfId="0" applyFont="1" applyFill="1" applyBorder="1" applyAlignment="1" applyProtection="1">
      <alignment horizontal="left" vertical="center" wrapText="1" indent="1"/>
      <protection locked="0"/>
    </xf>
    <xf numFmtId="0" fontId="3" fillId="2" borderId="3" xfId="0" applyFont="1" applyFill="1" applyBorder="1" applyAlignment="1" applyProtection="1">
      <alignment horizontal="left" vertical="center" wrapText="1" indent="1"/>
      <protection locked="0"/>
    </xf>
    <xf numFmtId="0" fontId="9" fillId="2" borderId="11" xfId="0" applyFont="1" applyFill="1" applyBorder="1" applyAlignment="1">
      <alignment horizontal="center" vertical="center"/>
    </xf>
    <xf numFmtId="0" fontId="9" fillId="2" borderId="7" xfId="0" applyFont="1" applyFill="1" applyBorder="1" applyAlignment="1">
      <alignment horizontal="center" vertical="center"/>
    </xf>
    <xf numFmtId="0" fontId="9" fillId="2" borderId="8" xfId="0" applyFont="1" applyFill="1" applyBorder="1" applyAlignment="1">
      <alignment horizontal="center" vertical="center"/>
    </xf>
    <xf numFmtId="0" fontId="8" fillId="3" borderId="1" xfId="0" applyFont="1" applyFill="1" applyBorder="1" applyAlignment="1">
      <alignment horizontal="left" vertical="center" wrapText="1" indent="1"/>
    </xf>
    <xf numFmtId="0" fontId="8" fillId="3" borderId="2" xfId="0" applyFont="1" applyFill="1" applyBorder="1" applyAlignment="1">
      <alignment horizontal="left" vertical="center" wrapText="1" indent="1"/>
    </xf>
    <xf numFmtId="0" fontId="8" fillId="3" borderId="3" xfId="0" applyFont="1" applyFill="1" applyBorder="1" applyAlignment="1">
      <alignment horizontal="left" vertical="center" wrapText="1" indent="1"/>
    </xf>
    <xf numFmtId="0" fontId="3" fillId="2" borderId="4" xfId="0" applyFont="1" applyFill="1" applyBorder="1" applyAlignment="1" applyProtection="1">
      <alignment horizontal="left" vertical="center" wrapText="1" indent="1"/>
      <protection locked="0"/>
    </xf>
    <xf numFmtId="0" fontId="3" fillId="2" borderId="0" xfId="0" applyFont="1" applyFill="1" applyAlignment="1" applyProtection="1">
      <alignment horizontal="left" vertical="center" wrapText="1" indent="1"/>
      <protection locked="0"/>
    </xf>
    <xf numFmtId="0" fontId="10" fillId="2" borderId="0" xfId="0" applyFont="1" applyFill="1" applyAlignment="1">
      <alignment horizontal="center" vertical="center"/>
    </xf>
    <xf numFmtId="0" fontId="10" fillId="2" borderId="11" xfId="0" applyFont="1" applyFill="1" applyBorder="1" applyAlignment="1">
      <alignment horizontal="center" vertical="center"/>
    </xf>
    <xf numFmtId="0" fontId="10" fillId="2" borderId="7" xfId="0" applyFont="1" applyFill="1" applyBorder="1" applyAlignment="1">
      <alignment horizontal="center" vertical="center"/>
    </xf>
    <xf numFmtId="0" fontId="10" fillId="2" borderId="8" xfId="0" applyFont="1" applyFill="1" applyBorder="1" applyAlignment="1">
      <alignment horizontal="center" vertical="center"/>
    </xf>
    <xf numFmtId="0" fontId="14" fillId="2" borderId="11" xfId="0" applyFont="1" applyFill="1" applyBorder="1" applyAlignment="1">
      <alignment horizontal="center" vertical="center" wrapText="1"/>
    </xf>
    <xf numFmtId="0" fontId="14" fillId="2" borderId="8" xfId="0" applyFont="1" applyFill="1" applyBorder="1" applyAlignment="1">
      <alignment horizontal="center" vertical="center" wrapText="1"/>
    </xf>
    <xf numFmtId="0" fontId="14" fillId="2" borderId="4" xfId="0" applyFont="1" applyFill="1" applyBorder="1" applyAlignment="1">
      <alignment horizontal="center" vertical="center" wrapText="1"/>
    </xf>
    <xf numFmtId="0" fontId="14" fillId="2" borderId="9" xfId="0" applyFont="1" applyFill="1" applyBorder="1" applyAlignment="1">
      <alignment horizontal="center" vertical="center" wrapText="1"/>
    </xf>
    <xf numFmtId="0" fontId="14" fillId="2" borderId="5" xfId="0" applyFont="1" applyFill="1" applyBorder="1" applyAlignment="1">
      <alignment horizontal="center" vertical="center" wrapText="1"/>
    </xf>
    <xf numFmtId="0" fontId="14" fillId="2" borderId="10" xfId="0" applyFont="1" applyFill="1" applyBorder="1" applyAlignment="1">
      <alignment horizontal="center" vertical="center" wrapText="1"/>
    </xf>
    <xf numFmtId="0" fontId="18" fillId="4" borderId="11" xfId="0" applyFont="1" applyFill="1" applyBorder="1" applyAlignment="1">
      <alignment horizontal="center" vertical="center" wrapText="1"/>
    </xf>
    <xf numFmtId="0" fontId="18" fillId="4" borderId="7" xfId="0" applyFont="1" applyFill="1" applyBorder="1" applyAlignment="1">
      <alignment horizontal="center" vertical="center" wrapText="1"/>
    </xf>
    <xf numFmtId="0" fontId="18" fillId="4" borderId="8" xfId="0" applyFont="1" applyFill="1" applyBorder="1" applyAlignment="1">
      <alignment horizontal="center" vertical="center" wrapText="1"/>
    </xf>
    <xf numFmtId="0" fontId="18" fillId="4" borderId="5" xfId="0" applyFont="1" applyFill="1" applyBorder="1" applyAlignment="1">
      <alignment horizontal="center" vertical="center" wrapText="1"/>
    </xf>
    <xf numFmtId="0" fontId="18" fillId="4" borderId="6" xfId="0" applyFont="1" applyFill="1" applyBorder="1" applyAlignment="1">
      <alignment horizontal="center" vertical="center" wrapText="1"/>
    </xf>
    <xf numFmtId="0" fontId="18" fillId="4" borderId="10"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4" xfId="0" applyFont="1" applyFill="1" applyBorder="1" applyAlignment="1">
      <alignment horizontal="center" vertical="center" wrapText="1"/>
    </xf>
    <xf numFmtId="0" fontId="15" fillId="2" borderId="0" xfId="0" applyFont="1" applyFill="1" applyAlignment="1">
      <alignment horizontal="center" vertical="center" wrapText="1"/>
    </xf>
    <xf numFmtId="0" fontId="15" fillId="2" borderId="5" xfId="0" applyFont="1" applyFill="1" applyBorder="1" applyAlignment="1">
      <alignment horizontal="center" vertical="center" wrapText="1"/>
    </xf>
    <xf numFmtId="0" fontId="15" fillId="2" borderId="6" xfId="0" applyFont="1" applyFill="1" applyBorder="1" applyAlignment="1">
      <alignment horizontal="center" vertical="center" wrapText="1"/>
    </xf>
    <xf numFmtId="0" fontId="15" fillId="2" borderId="8" xfId="0" applyFont="1" applyFill="1" applyBorder="1" applyAlignment="1">
      <alignment horizontal="center" vertical="center" wrapText="1"/>
    </xf>
    <xf numFmtId="0" fontId="15" fillId="2" borderId="9" xfId="0" applyFont="1" applyFill="1" applyBorder="1" applyAlignment="1">
      <alignment horizontal="center" vertical="center" wrapText="1"/>
    </xf>
    <xf numFmtId="0" fontId="15" fillId="2" borderId="10" xfId="0" applyFont="1" applyFill="1" applyBorder="1" applyAlignment="1">
      <alignment horizontal="center" vertical="center" wrapText="1"/>
    </xf>
    <xf numFmtId="0" fontId="18" fillId="10" borderId="11" xfId="0" applyFont="1" applyFill="1" applyBorder="1" applyAlignment="1">
      <alignment horizontal="center" vertical="center" wrapText="1"/>
    </xf>
    <xf numFmtId="0" fontId="18" fillId="10" borderId="7" xfId="0" applyFont="1" applyFill="1" applyBorder="1" applyAlignment="1">
      <alignment horizontal="center" vertical="center" wrapText="1"/>
    </xf>
    <xf numFmtId="0" fontId="18" fillId="10" borderId="8" xfId="0" applyFont="1" applyFill="1" applyBorder="1" applyAlignment="1">
      <alignment horizontal="center" vertical="center" wrapText="1"/>
    </xf>
    <xf numFmtId="0" fontId="18" fillId="10" borderId="5" xfId="0" applyFont="1" applyFill="1" applyBorder="1" applyAlignment="1">
      <alignment horizontal="center" vertical="center" wrapText="1"/>
    </xf>
    <xf numFmtId="0" fontId="18" fillId="10" borderId="6" xfId="0" applyFont="1" applyFill="1" applyBorder="1" applyAlignment="1">
      <alignment horizontal="center" vertical="center" wrapText="1"/>
    </xf>
    <xf numFmtId="0" fontId="18" fillId="10" borderId="10" xfId="0" applyFont="1" applyFill="1" applyBorder="1" applyAlignment="1">
      <alignment horizontal="center" vertical="center" wrapText="1"/>
    </xf>
    <xf numFmtId="0" fontId="12" fillId="10" borderId="11" xfId="0" applyFont="1" applyFill="1" applyBorder="1" applyAlignment="1">
      <alignment horizontal="center" vertical="center" wrapText="1"/>
    </xf>
    <xf numFmtId="0" fontId="12" fillId="10" borderId="7" xfId="0" applyFont="1" applyFill="1" applyBorder="1" applyAlignment="1">
      <alignment horizontal="center" vertical="center" wrapText="1"/>
    </xf>
    <xf numFmtId="0" fontId="12" fillId="10" borderId="8" xfId="0" applyFont="1" applyFill="1" applyBorder="1" applyAlignment="1">
      <alignment horizontal="center" vertical="center" wrapText="1"/>
    </xf>
    <xf numFmtId="0" fontId="12" fillId="10" borderId="5" xfId="0" applyFont="1" applyFill="1" applyBorder="1" applyAlignment="1">
      <alignment horizontal="center" vertical="center" wrapText="1"/>
    </xf>
    <xf numFmtId="0" fontId="12" fillId="10" borderId="6" xfId="0" applyFont="1" applyFill="1" applyBorder="1" applyAlignment="1">
      <alignment horizontal="center" vertical="center" wrapText="1"/>
    </xf>
    <xf numFmtId="0" fontId="12" fillId="10" borderId="10" xfId="0" applyFont="1" applyFill="1" applyBorder="1" applyAlignment="1">
      <alignment horizontal="center" vertical="center" wrapText="1"/>
    </xf>
    <xf numFmtId="0" fontId="23" fillId="9" borderId="1" xfId="0" applyFont="1" applyFill="1" applyBorder="1" applyAlignment="1">
      <alignment horizontal="center" vertical="center" wrapText="1"/>
    </xf>
    <xf numFmtId="0" fontId="23" fillId="9" borderId="2" xfId="0" applyFont="1" applyFill="1" applyBorder="1" applyAlignment="1">
      <alignment horizontal="center" vertical="center" wrapText="1"/>
    </xf>
    <xf numFmtId="0" fontId="23" fillId="9" borderId="3" xfId="0" applyFont="1" applyFill="1" applyBorder="1" applyAlignment="1">
      <alignment horizontal="center" vertical="center" wrapText="1"/>
    </xf>
    <xf numFmtId="0" fontId="12" fillId="4" borderId="11" xfId="0" applyFont="1" applyFill="1" applyBorder="1" applyAlignment="1">
      <alignment horizontal="center" vertical="center" wrapText="1"/>
    </xf>
    <xf numFmtId="0" fontId="12" fillId="4" borderId="7" xfId="0" applyFont="1" applyFill="1" applyBorder="1" applyAlignment="1">
      <alignment horizontal="center" vertical="center" wrapText="1"/>
    </xf>
    <xf numFmtId="0" fontId="12" fillId="4" borderId="8" xfId="0" applyFont="1" applyFill="1" applyBorder="1" applyAlignment="1">
      <alignment horizontal="center" vertical="center" wrapText="1"/>
    </xf>
    <xf numFmtId="0" fontId="12" fillId="4" borderId="5" xfId="0" applyFont="1" applyFill="1" applyBorder="1" applyAlignment="1">
      <alignment horizontal="center" vertical="center" wrapText="1"/>
    </xf>
    <xf numFmtId="0" fontId="12" fillId="4" borderId="6" xfId="0" applyFont="1" applyFill="1" applyBorder="1" applyAlignment="1">
      <alignment horizontal="center" vertical="center" wrapText="1"/>
    </xf>
    <xf numFmtId="0" fontId="12" fillId="4" borderId="10" xfId="0" applyFont="1" applyFill="1" applyBorder="1" applyAlignment="1">
      <alignment horizontal="center" vertical="center" wrapText="1"/>
    </xf>
    <xf numFmtId="0" fontId="19" fillId="2" borderId="11" xfId="0" applyFont="1" applyFill="1" applyBorder="1" applyAlignment="1">
      <alignment horizontal="center" vertical="center" wrapText="1"/>
    </xf>
    <xf numFmtId="0" fontId="19" fillId="2" borderId="7" xfId="0" applyFont="1" applyFill="1" applyBorder="1" applyAlignment="1">
      <alignment horizontal="center" vertical="center" wrapText="1"/>
    </xf>
    <xf numFmtId="0" fontId="19" fillId="2" borderId="8" xfId="0" applyFont="1" applyFill="1" applyBorder="1" applyAlignment="1">
      <alignment horizontal="center" vertical="center" wrapText="1"/>
    </xf>
    <xf numFmtId="0" fontId="19" fillId="2" borderId="5" xfId="0" applyFont="1" applyFill="1" applyBorder="1" applyAlignment="1">
      <alignment horizontal="center" vertical="center" wrapText="1"/>
    </xf>
    <xf numFmtId="0" fontId="19" fillId="2" borderId="6" xfId="0" applyFont="1" applyFill="1" applyBorder="1" applyAlignment="1">
      <alignment horizontal="center" vertical="center" wrapText="1"/>
    </xf>
    <xf numFmtId="0" fontId="19" fillId="2" borderId="10" xfId="0" applyFont="1" applyFill="1" applyBorder="1" applyAlignment="1">
      <alignment horizontal="center" vertical="center" wrapText="1"/>
    </xf>
    <xf numFmtId="0" fontId="20" fillId="4" borderId="11" xfId="0" applyFont="1" applyFill="1" applyBorder="1" applyAlignment="1">
      <alignment horizontal="center" vertical="center" wrapText="1"/>
    </xf>
    <xf numFmtId="0" fontId="20" fillId="4" borderId="7" xfId="0" applyFont="1" applyFill="1" applyBorder="1" applyAlignment="1">
      <alignment horizontal="center" vertical="center" wrapText="1"/>
    </xf>
    <xf numFmtId="0" fontId="20" fillId="4" borderId="8" xfId="0" applyFont="1" applyFill="1" applyBorder="1" applyAlignment="1">
      <alignment horizontal="center" vertical="center" wrapText="1"/>
    </xf>
    <xf numFmtId="0" fontId="20" fillId="4" borderId="5" xfId="0" applyFont="1" applyFill="1" applyBorder="1" applyAlignment="1">
      <alignment horizontal="center" vertical="center" wrapText="1"/>
    </xf>
    <xf numFmtId="0" fontId="20" fillId="4" borderId="6" xfId="0" applyFont="1" applyFill="1" applyBorder="1" applyAlignment="1">
      <alignment horizontal="center" vertical="center" wrapText="1"/>
    </xf>
    <xf numFmtId="0" fontId="20" fillId="4" borderId="10" xfId="0" applyFont="1" applyFill="1" applyBorder="1" applyAlignment="1">
      <alignment horizontal="center" vertical="center" wrapText="1"/>
    </xf>
    <xf numFmtId="0" fontId="9" fillId="2" borderId="4" xfId="0" applyFont="1" applyFill="1" applyBorder="1" applyAlignment="1">
      <alignment horizontal="center" vertical="center"/>
    </xf>
    <xf numFmtId="0" fontId="9" fillId="2" borderId="0" xfId="0" applyFont="1" applyFill="1" applyAlignment="1">
      <alignment horizontal="center" vertical="center"/>
    </xf>
    <xf numFmtId="10" fontId="12" fillId="4" borderId="1" xfId="2" applyNumberFormat="1" applyFont="1" applyFill="1" applyBorder="1" applyAlignment="1">
      <alignment horizontal="center" vertical="center"/>
    </xf>
    <xf numFmtId="10" fontId="12" fillId="4" borderId="3" xfId="2" applyNumberFormat="1" applyFont="1" applyFill="1" applyBorder="1" applyAlignment="1">
      <alignment horizontal="center" vertical="center"/>
    </xf>
    <xf numFmtId="0" fontId="8" fillId="9" borderId="11" xfId="0" applyFont="1" applyFill="1" applyBorder="1" applyAlignment="1">
      <alignment horizontal="center" vertical="center"/>
    </xf>
    <xf numFmtId="0" fontId="8" fillId="9" borderId="8" xfId="0" applyFont="1" applyFill="1" applyBorder="1" applyAlignment="1">
      <alignment horizontal="center" vertical="center"/>
    </xf>
    <xf numFmtId="0" fontId="8" fillId="9" borderId="4" xfId="0" applyFont="1" applyFill="1" applyBorder="1" applyAlignment="1">
      <alignment horizontal="center" vertical="center"/>
    </xf>
    <xf numFmtId="0" fontId="8" fillId="9" borderId="9" xfId="0" applyFont="1" applyFill="1" applyBorder="1" applyAlignment="1">
      <alignment horizontal="center" vertical="center"/>
    </xf>
    <xf numFmtId="0" fontId="0" fillId="4" borderId="4" xfId="0" applyFill="1" applyBorder="1" applyAlignment="1">
      <alignment horizontal="center" vertical="center"/>
    </xf>
    <xf numFmtId="0" fontId="0" fillId="4" borderId="32" xfId="0" applyFill="1" applyBorder="1" applyAlignment="1">
      <alignment horizontal="center" vertical="center"/>
    </xf>
    <xf numFmtId="0" fontId="0" fillId="4" borderId="5" xfId="0" applyFill="1" applyBorder="1" applyAlignment="1">
      <alignment horizontal="center" vertical="center"/>
    </xf>
    <xf numFmtId="0" fontId="0" fillId="4" borderId="39" xfId="0" applyFill="1" applyBorder="1" applyAlignment="1">
      <alignment horizontal="center" vertical="center"/>
    </xf>
    <xf numFmtId="0" fontId="0" fillId="4" borderId="31" xfId="0" applyFill="1" applyBorder="1" applyAlignment="1">
      <alignment horizontal="center" vertical="center"/>
    </xf>
    <xf numFmtId="0" fontId="0" fillId="4" borderId="42" xfId="0" applyFill="1" applyBorder="1" applyAlignment="1">
      <alignment horizontal="center" vertical="center"/>
    </xf>
    <xf numFmtId="0" fontId="0" fillId="9" borderId="1" xfId="0" applyFill="1" applyBorder="1" applyAlignment="1">
      <alignment horizontal="center" vertical="center"/>
    </xf>
    <xf numFmtId="0" fontId="0" fillId="9" borderId="2" xfId="0" applyFill="1" applyBorder="1" applyAlignment="1">
      <alignment horizontal="center" vertical="center"/>
    </xf>
    <xf numFmtId="0" fontId="0" fillId="9" borderId="3" xfId="0" applyFill="1" applyBorder="1" applyAlignment="1">
      <alignment horizontal="center" vertical="center"/>
    </xf>
    <xf numFmtId="0" fontId="0" fillId="7" borderId="14" xfId="0" applyFill="1" applyBorder="1" applyAlignment="1">
      <alignment horizontal="center" vertical="center"/>
    </xf>
    <xf numFmtId="0" fontId="0" fillId="7" borderId="15" xfId="0" applyFill="1" applyBorder="1" applyAlignment="1">
      <alignment horizontal="center" vertical="center"/>
    </xf>
    <xf numFmtId="0" fontId="0" fillId="7" borderId="16" xfId="0" applyFill="1" applyBorder="1" applyAlignment="1">
      <alignment horizontal="center" vertical="center"/>
    </xf>
    <xf numFmtId="0" fontId="0" fillId="7" borderId="17" xfId="0" applyFill="1" applyBorder="1" applyAlignment="1">
      <alignment horizontal="center" vertical="center"/>
    </xf>
    <xf numFmtId="0" fontId="17" fillId="6" borderId="12" xfId="0" applyFont="1" applyFill="1" applyBorder="1" applyAlignment="1">
      <alignment horizontal="center" vertical="center"/>
    </xf>
    <xf numFmtId="0" fontId="17" fillId="6" borderId="13" xfId="0" applyFont="1" applyFill="1" applyBorder="1" applyAlignment="1">
      <alignment horizontal="center" vertical="center"/>
    </xf>
    <xf numFmtId="9" fontId="17" fillId="6" borderId="16" xfId="2" applyFont="1" applyFill="1" applyBorder="1" applyAlignment="1">
      <alignment horizontal="center" vertical="center"/>
    </xf>
    <xf numFmtId="9" fontId="17" fillId="6" borderId="17" xfId="2" applyFont="1" applyFill="1" applyBorder="1" applyAlignment="1">
      <alignment horizontal="center" vertical="center"/>
    </xf>
    <xf numFmtId="0" fontId="8" fillId="3" borderId="2" xfId="0" applyFont="1" applyFill="1" applyBorder="1" applyAlignment="1" applyProtection="1">
      <alignment vertical="center" wrapText="1"/>
      <protection locked="0"/>
    </xf>
    <xf numFmtId="0" fontId="8" fillId="3" borderId="3" xfId="0" applyFont="1" applyFill="1" applyBorder="1" applyAlignment="1" applyProtection="1">
      <alignment vertical="center" wrapText="1"/>
      <protection locked="0"/>
    </xf>
    <xf numFmtId="0" fontId="8" fillId="9" borderId="5" xfId="0" applyFont="1" applyFill="1" applyBorder="1" applyAlignment="1">
      <alignment horizontal="center" vertical="center"/>
    </xf>
    <xf numFmtId="0" fontId="8" fillId="9" borderId="10" xfId="0" applyFont="1" applyFill="1" applyBorder="1" applyAlignment="1">
      <alignment horizontal="center" vertical="center"/>
    </xf>
    <xf numFmtId="0" fontId="10" fillId="2" borderId="1" xfId="0" applyFont="1" applyFill="1" applyBorder="1" applyAlignment="1">
      <alignment horizontal="right" vertical="center" indent="1"/>
    </xf>
    <xf numFmtId="0" fontId="10" fillId="2" borderId="2" xfId="0" applyFont="1" applyFill="1" applyBorder="1" applyAlignment="1">
      <alignment horizontal="right" vertical="center" indent="1"/>
    </xf>
    <xf numFmtId="0" fontId="10" fillId="2" borderId="3" xfId="0" applyFont="1" applyFill="1" applyBorder="1" applyAlignment="1">
      <alignment horizontal="right" vertical="center" indent="1"/>
    </xf>
    <xf numFmtId="0" fontId="16" fillId="0" borderId="11" xfId="0" applyFont="1" applyBorder="1" applyAlignment="1">
      <alignment horizontal="left" vertical="center" wrapText="1" indent="1"/>
    </xf>
    <xf numFmtId="0" fontId="16" fillId="0" borderId="7" xfId="0" applyFont="1" applyBorder="1" applyAlignment="1">
      <alignment horizontal="left" vertical="center" wrapText="1" indent="1"/>
    </xf>
    <xf numFmtId="0" fontId="16" fillId="0" borderId="8" xfId="0" applyFont="1" applyBorder="1" applyAlignment="1">
      <alignment horizontal="left" vertical="center" wrapText="1" indent="1"/>
    </xf>
    <xf numFmtId="0" fontId="16" fillId="0" borderId="4" xfId="0" applyFont="1" applyBorder="1" applyAlignment="1">
      <alignment horizontal="left" vertical="center" wrapText="1" indent="1"/>
    </xf>
    <xf numFmtId="0" fontId="16" fillId="0" borderId="0" xfId="0" applyFont="1" applyAlignment="1">
      <alignment horizontal="left" vertical="center" wrapText="1" indent="1"/>
    </xf>
    <xf numFmtId="0" fontId="16" fillId="0" borderId="9" xfId="0" applyFont="1" applyBorder="1" applyAlignment="1">
      <alignment horizontal="left" vertical="center" wrapText="1" indent="1"/>
    </xf>
    <xf numFmtId="0" fontId="16" fillId="0" borderId="5" xfId="0" applyFont="1" applyBorder="1" applyAlignment="1">
      <alignment horizontal="left" vertical="center" wrapText="1" indent="1"/>
    </xf>
    <xf numFmtId="0" fontId="16" fillId="0" borderId="6" xfId="0" applyFont="1" applyBorder="1" applyAlignment="1">
      <alignment horizontal="left" vertical="center" wrapText="1" indent="1"/>
    </xf>
    <xf numFmtId="0" fontId="16" fillId="0" borderId="10" xfId="0" applyFont="1" applyBorder="1" applyAlignment="1">
      <alignment horizontal="left" vertical="center" wrapText="1" indent="1"/>
    </xf>
    <xf numFmtId="0" fontId="24" fillId="4" borderId="11" xfId="0" applyFont="1" applyFill="1" applyBorder="1" applyAlignment="1">
      <alignment horizontal="center" vertical="center"/>
    </xf>
    <xf numFmtId="0" fontId="24" fillId="4" borderId="7" xfId="0" applyFont="1" applyFill="1" applyBorder="1" applyAlignment="1">
      <alignment horizontal="center" vertical="center"/>
    </xf>
    <xf numFmtId="0" fontId="24" fillId="4" borderId="8" xfId="0" applyFont="1" applyFill="1" applyBorder="1" applyAlignment="1">
      <alignment horizontal="center" vertical="center"/>
    </xf>
    <xf numFmtId="0" fontId="24" fillId="4" borderId="4" xfId="0" applyFont="1" applyFill="1" applyBorder="1" applyAlignment="1">
      <alignment horizontal="center" vertical="center"/>
    </xf>
    <xf numFmtId="0" fontId="24" fillId="4" borderId="0" xfId="0" applyFont="1" applyFill="1" applyAlignment="1">
      <alignment horizontal="center" vertical="center"/>
    </xf>
    <xf numFmtId="0" fontId="24" fillId="4" borderId="9" xfId="0" applyFont="1" applyFill="1" applyBorder="1" applyAlignment="1">
      <alignment horizontal="center" vertical="center"/>
    </xf>
    <xf numFmtId="0" fontId="24" fillId="4" borderId="5" xfId="0" applyFont="1" applyFill="1" applyBorder="1" applyAlignment="1">
      <alignment horizontal="center" vertical="center"/>
    </xf>
    <xf numFmtId="0" fontId="24" fillId="4" borderId="6" xfId="0" applyFont="1" applyFill="1" applyBorder="1" applyAlignment="1">
      <alignment horizontal="center" vertical="center"/>
    </xf>
    <xf numFmtId="0" fontId="24" fillId="4" borderId="10" xfId="0" applyFont="1" applyFill="1" applyBorder="1" applyAlignment="1">
      <alignment horizontal="center" vertical="center"/>
    </xf>
    <xf numFmtId="0" fontId="10" fillId="2" borderId="4" xfId="0" applyFont="1" applyFill="1" applyBorder="1" applyAlignment="1">
      <alignment horizontal="center" vertical="center"/>
    </xf>
    <xf numFmtId="0" fontId="10" fillId="2" borderId="5" xfId="0" applyFont="1" applyFill="1" applyBorder="1" applyAlignment="1">
      <alignment horizontal="center" vertical="center"/>
    </xf>
    <xf numFmtId="0" fontId="10" fillId="2" borderId="6" xfId="0" applyFont="1" applyFill="1" applyBorder="1" applyAlignment="1">
      <alignment horizontal="center" vertical="center"/>
    </xf>
    <xf numFmtId="164" fontId="0" fillId="7" borderId="12" xfId="1" applyNumberFormat="1" applyFont="1" applyFill="1" applyBorder="1" applyAlignment="1">
      <alignment horizontal="center" vertical="center"/>
    </xf>
    <xf numFmtId="164" fontId="0" fillId="7" borderId="13" xfId="1" applyNumberFormat="1" applyFont="1" applyFill="1" applyBorder="1" applyAlignment="1">
      <alignment horizontal="center" vertical="center"/>
    </xf>
  </cellXfs>
  <cellStyles count="3">
    <cellStyle name="Currency" xfId="1" builtinId="4"/>
    <cellStyle name="Normal" xfId="0" builtinId="0"/>
    <cellStyle name="Percent" xfId="2" builtinId="5"/>
  </cellStyles>
  <dxfs count="39">
    <dxf>
      <numFmt numFmtId="0" formatCode="General"/>
      <alignment horizontal="center" vertical="center" textRotation="0" indent="0" justifyLastLine="0" shrinkToFit="0" readingOrder="0"/>
    </dxf>
    <dxf>
      <numFmt numFmtId="0" formatCode="General"/>
      <alignment horizontal="center" vertical="center" textRotation="0" indent="0" justifyLastLine="0" shrinkToFit="0" readingOrder="0"/>
    </dxf>
    <dxf>
      <numFmt numFmtId="0" formatCode="General"/>
      <alignment horizontal="center" vertical="center" textRotation="0" indent="0" justifyLastLine="0" shrinkToFit="0" readingOrder="0"/>
    </dxf>
    <dxf>
      <alignment horizontal="center" vertical="center" textRotation="0" indent="0" justifyLastLine="0" shrinkToFit="0" readingOrder="0"/>
    </dxf>
    <dxf>
      <numFmt numFmtId="0" formatCode="General"/>
      <alignment horizontal="center" vertical="center" textRotation="0" indent="0" justifyLastLine="0" shrinkToFit="0" readingOrder="0"/>
    </dxf>
    <dxf>
      <numFmt numFmtId="0" formatCode="General"/>
      <alignment horizontal="center" vertical="center" textRotation="0" indent="0" justifyLastLine="0" shrinkToFit="0" readingOrder="0"/>
    </dxf>
    <dxf>
      <numFmt numFmtId="0" formatCode="General"/>
      <alignment horizontal="center" vertical="center" textRotation="0" indent="0" justifyLastLine="0" shrinkToFit="0" readingOrder="0"/>
    </dxf>
    <dxf>
      <numFmt numFmtId="0" formatCode="General"/>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fill>
        <patternFill patternType="solid">
          <fgColor indexed="64"/>
          <bgColor rgb="FF002060"/>
        </patternFill>
      </fill>
      <alignment horizontal="center" vertical="center" textRotation="0" indent="0" justifyLastLine="0" shrinkToFit="0" readingOrder="0"/>
    </dxf>
    <dxf>
      <numFmt numFmtId="0" formatCode="General"/>
      <alignment horizontal="center" vertical="center" textRotation="0" indent="0" justifyLastLine="0" shrinkToFit="0" readingOrder="0"/>
    </dxf>
    <dxf>
      <numFmt numFmtId="0" formatCode="General"/>
      <alignment horizontal="center" vertical="center" textRotation="0" indent="0" justifyLastLine="0" shrinkToFit="0" readingOrder="0"/>
    </dxf>
    <dxf>
      <numFmt numFmtId="0" formatCode="General"/>
      <alignment horizontal="center" vertical="center" textRotation="0" indent="0" justifyLastLine="0" shrinkToFit="0" readingOrder="0"/>
    </dxf>
    <dxf>
      <numFmt numFmtId="0" formatCode="General"/>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fill>
        <patternFill patternType="solid">
          <fgColor indexed="64"/>
          <bgColor rgb="FF002060"/>
        </patternFill>
      </fill>
      <alignment horizontal="center" vertical="center" textRotation="0" indent="0" justifyLastLine="0" shrinkToFit="0" readingOrder="0"/>
    </dxf>
    <dxf>
      <numFmt numFmtId="0" formatCode="General"/>
      <fill>
        <patternFill patternType="solid">
          <fgColor indexed="64"/>
          <bgColor theme="6" tint="0.79998168889431442"/>
        </patternFill>
      </fill>
      <alignment horizontal="center" vertical="center" textRotation="0" wrapText="0" indent="0" justifyLastLine="0" shrinkToFit="0" readingOrder="0"/>
    </dxf>
    <dxf>
      <numFmt numFmtId="0" formatCode="General"/>
      <fill>
        <patternFill patternType="solid">
          <fgColor indexed="64"/>
          <bgColor theme="6" tint="0.79998168889431442"/>
        </patternFill>
      </fill>
      <alignment horizontal="center" vertical="center" textRotation="0" wrapText="0" indent="0" justifyLastLine="0" shrinkToFit="0" readingOrder="0"/>
    </dxf>
    <dxf>
      <numFmt numFmtId="0" formatCode="General"/>
      <fill>
        <patternFill patternType="solid">
          <fgColor indexed="64"/>
          <bgColor theme="6" tint="0.79998168889431442"/>
        </patternFill>
      </fill>
      <alignment horizontal="center" vertical="center" textRotation="0" wrapText="0" indent="0" justifyLastLine="0" shrinkToFit="0" readingOrder="0"/>
    </dxf>
    <dxf>
      <numFmt numFmtId="0" formatCode="General"/>
      <fill>
        <patternFill patternType="solid">
          <fgColor indexed="64"/>
          <bgColor theme="6" tint="0.79998168889431442"/>
        </patternFill>
      </fill>
      <alignment horizontal="center" vertical="center" textRotation="0" wrapText="0" indent="0" justifyLastLine="0" shrinkToFit="0" readingOrder="0"/>
    </dxf>
    <dxf>
      <numFmt numFmtId="0" formatCode="General"/>
      <fill>
        <patternFill patternType="solid">
          <fgColor indexed="64"/>
          <bgColor theme="6" tint="0.79998168889431442"/>
        </patternFill>
      </fill>
      <alignment horizontal="center" vertical="center" textRotation="0" wrapText="0" indent="0" justifyLastLine="0" shrinkToFit="0" readingOrder="0"/>
    </dxf>
    <dxf>
      <numFmt numFmtId="0" formatCode="General"/>
      <fill>
        <patternFill patternType="solid">
          <fgColor indexed="64"/>
          <bgColor theme="6" tint="0.79998168889431442"/>
        </patternFill>
      </fill>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numFmt numFmtId="0" formatCode="General"/>
      <fill>
        <patternFill patternType="solid">
          <fgColor indexed="64"/>
          <bgColor theme="6" tint="0.79998168889431442"/>
        </patternFill>
      </fill>
      <alignment horizontal="center" vertical="center" textRotation="0" wrapText="0" indent="0" justifyLastLine="0" shrinkToFit="0" readingOrder="0"/>
    </dxf>
    <dxf>
      <alignment horizontal="center" vertical="center" textRotation="0" wrapText="0" indent="0" justifyLastLine="0" shrinkToFit="0" readingOrder="0"/>
    </dxf>
    <dxf>
      <border diagonalUp="0" diagonalDown="0">
        <left style="medium">
          <color indexed="64"/>
        </left>
        <right style="medium">
          <color indexed="64"/>
        </right>
        <top style="medium">
          <color indexed="64"/>
        </top>
        <bottom style="medium">
          <color indexed="64"/>
        </bottom>
      </border>
    </dxf>
    <dxf>
      <alignment horizontal="center" vertical="center" textRotation="0" wrapText="0" indent="0" justifyLastLine="0" shrinkToFit="0" readingOrder="0"/>
    </dxf>
    <dxf>
      <fill>
        <patternFill patternType="solid">
          <fgColor indexed="64"/>
          <bgColor rgb="FF002060"/>
        </patternFill>
      </fill>
      <alignment horizontal="center" vertical="center" textRotation="0" wrapText="0" indent="0" justifyLastLine="0" shrinkToFit="0" readingOrder="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hubbardresearch.com/"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hubbardresearch.com/" TargetMode="External"/></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hubbardresearch.com/" TargetMode="External"/></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hubbardresearch.com/" TargetMode="External"/></Relationships>
</file>

<file path=xl/drawings/drawing1.xml><?xml version="1.0" encoding="utf-8"?>
<xdr:wsDr xmlns:xdr="http://schemas.openxmlformats.org/drawingml/2006/spreadsheetDrawing" xmlns:a="http://schemas.openxmlformats.org/drawingml/2006/main">
  <xdr:twoCellAnchor>
    <xdr:from>
      <xdr:col>0</xdr:col>
      <xdr:colOff>228601</xdr:colOff>
      <xdr:row>1</xdr:row>
      <xdr:rowOff>251460</xdr:rowOff>
    </xdr:from>
    <xdr:to>
      <xdr:col>2</xdr:col>
      <xdr:colOff>1323976</xdr:colOff>
      <xdr:row>1</xdr:row>
      <xdr:rowOff>822960</xdr:rowOff>
    </xdr:to>
    <xdr:pic>
      <xdr:nvPicPr>
        <xdr:cNvPr id="2" name="Picture 1">
          <a:hlinkClick xmlns:r="http://schemas.openxmlformats.org/officeDocument/2006/relationships" r:id="rId1"/>
          <a:extLst>
            <a:ext uri="{FF2B5EF4-FFF2-40B4-BE49-F238E27FC236}">
              <a16:creationId xmlns:a16="http://schemas.microsoft.com/office/drawing/2014/main" id="{4E1A25CC-1567-4F26-ADC1-B9B3CD860B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bwMode="auto">
        <a:xfrm>
          <a:off x="228601" y="861060"/>
          <a:ext cx="2428875" cy="571500"/>
        </a:xfrm>
        <a:prstGeom prst="rect">
          <a:avLst/>
        </a:prstGeom>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114301</xdr:colOff>
      <xdr:row>1</xdr:row>
      <xdr:rowOff>129540</xdr:rowOff>
    </xdr:from>
    <xdr:to>
      <xdr:col>1</xdr:col>
      <xdr:colOff>1011556</xdr:colOff>
      <xdr:row>1</xdr:row>
      <xdr:rowOff>701040</xdr:rowOff>
    </xdr:to>
    <xdr:pic>
      <xdr:nvPicPr>
        <xdr:cNvPr id="2" name="Picture 1">
          <a:hlinkClick xmlns:r="http://schemas.openxmlformats.org/officeDocument/2006/relationships" r:id="rId1"/>
          <a:extLst>
            <a:ext uri="{FF2B5EF4-FFF2-40B4-BE49-F238E27FC236}">
              <a16:creationId xmlns:a16="http://schemas.microsoft.com/office/drawing/2014/main" id="{AF605B67-1EDA-43C6-BC46-5B84B5D8D6B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bwMode="auto">
        <a:xfrm>
          <a:off x="114301" y="739140"/>
          <a:ext cx="2428875" cy="571500"/>
        </a:xfrm>
        <a:prstGeom prst="rect">
          <a:avLst/>
        </a:prstGeom>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213361</xdr:colOff>
      <xdr:row>1</xdr:row>
      <xdr:rowOff>144780</xdr:rowOff>
    </xdr:from>
    <xdr:to>
      <xdr:col>1</xdr:col>
      <xdr:colOff>1110616</xdr:colOff>
      <xdr:row>1</xdr:row>
      <xdr:rowOff>716280</xdr:rowOff>
    </xdr:to>
    <xdr:pic>
      <xdr:nvPicPr>
        <xdr:cNvPr id="2" name="Picture 1">
          <a:hlinkClick xmlns:r="http://schemas.openxmlformats.org/officeDocument/2006/relationships" r:id="rId1"/>
          <a:extLst>
            <a:ext uri="{FF2B5EF4-FFF2-40B4-BE49-F238E27FC236}">
              <a16:creationId xmlns:a16="http://schemas.microsoft.com/office/drawing/2014/main" id="{7AE0988C-BABA-4076-9B56-3141CC2D6E6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bwMode="auto">
        <a:xfrm>
          <a:off x="213361" y="754380"/>
          <a:ext cx="2428875" cy="571500"/>
        </a:xfrm>
        <a:prstGeom prst="rect">
          <a:avLst/>
        </a:prstGeom>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228601</xdr:colOff>
      <xdr:row>1</xdr:row>
      <xdr:rowOff>137160</xdr:rowOff>
    </xdr:from>
    <xdr:to>
      <xdr:col>4</xdr:col>
      <xdr:colOff>165736</xdr:colOff>
      <xdr:row>1</xdr:row>
      <xdr:rowOff>708660</xdr:rowOff>
    </xdr:to>
    <xdr:pic>
      <xdr:nvPicPr>
        <xdr:cNvPr id="2" name="Picture 1">
          <a:hlinkClick xmlns:r="http://schemas.openxmlformats.org/officeDocument/2006/relationships" r:id="rId1"/>
          <a:extLst>
            <a:ext uri="{FF2B5EF4-FFF2-40B4-BE49-F238E27FC236}">
              <a16:creationId xmlns:a16="http://schemas.microsoft.com/office/drawing/2014/main" id="{E1E72C59-8EBC-42CC-ADC6-2E68210133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bwMode="auto">
        <a:xfrm>
          <a:off x="228601" y="746760"/>
          <a:ext cx="2428875" cy="571500"/>
        </a:xfrm>
        <a:prstGeom prst="rect">
          <a:avLst/>
        </a:prstGeom>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Data" displayName="Data" ref="A14:N214" headerRowDxfId="38" dataDxfId="37" totalsRowDxfId="35" tableBorderDxfId="36">
  <autoFilter ref="A14:N214" xr:uid="{00000000-0009-0000-0100-000001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0" xr3:uid="{84439047-8D79-4BAF-9373-74BD41C727B9}" name="Case" dataDxfId="34" totalsRowDxfId="33"/>
    <tableColumn id="2" xr3:uid="{00000000-0010-0000-0000-000002000000}" name="Budget" dataDxfId="32" dataCellStyle="Currency"/>
    <tableColumn id="3" xr3:uid="{00000000-0010-0000-0000-000003000000}" name="Planned Duration (months)" dataDxfId="31"/>
    <tableColumn id="4" xr3:uid="{00000000-0010-0000-0000-000004000000}" name="Team Size (# FTE)" dataDxfId="30"/>
    <tableColumn id="5" xr3:uid="{00000000-0010-0000-0000-000005000000}" name="Schedule Overage (days)" dataDxfId="29"/>
    <tableColumn id="6" xr3:uid="{00000000-0010-0000-0000-000006000000}" name="Key Staff Turnover" dataDxfId="28"/>
    <tableColumn id="7" xr3:uid="{00000000-0010-0000-0000-000007000000}" name="Project Type" dataDxfId="27"/>
    <tableColumn id="8" xr3:uid="{00000000-0010-0000-0000-000008000000}" name="Canceled" dataDxfId="26"/>
    <tableColumn id="1" xr3:uid="{00000000-0010-0000-0000-000001000000}" name="InNode" dataDxfId="25">
      <calculatedColumnFormula>IF(Active_Node="Root",1,
   IF(Active_Node="Left",--Data[[#This Row],[RootLeftMask]],
   IF(Active_Node="Right",1-Data[[#This Row],[RootLeftMask]],1)))</calculatedColumnFormula>
    </tableColumn>
    <tableColumn id="16" xr3:uid="{A8AA99B1-4C4E-40DF-9469-D432020AB317}" name="RootLeftMask" dataDxfId="24">
      <calculatedColumnFormula>--(IF(root_pred="Budget",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calculatedColumnFormula>
    </tableColumn>
    <tableColumn id="11" xr3:uid="{8E30ACAF-6E50-45FC-ADA1-DCED50E33B1B}" name="InLeft" dataDxfId="23">
      <calculatedColumnFormula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calculatedColumnFormula>
    </tableColumn>
    <tableColumn id="12" xr3:uid="{17C95D1E-3B33-43E7-B0B6-B5BBF2A13A4A}" name="InRight" dataDxfId="22">
      <calculatedColumnFormula>--(NOT(Data[[#This Row],[InLeft]]))</calculatedColumnFormula>
    </tableColumn>
    <tableColumn id="13" xr3:uid="{A7CBE3BD-8939-4248-A72F-EBD96464AC7D}" name="Predicted" dataDxfId="21">
      <calculatedColumnFormula>IF(Data[[#This Row],[InLeft]]=1, Left_Majority, Right_Majority)</calculatedColumnFormula>
    </tableColumn>
    <tableColumn id="14" xr3:uid="{6D1DDF8B-9B71-4F02-8F53-AF9792F5C79B}" name="Predicted Final" dataDxfId="20">
      <calculatedColumnFormula>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calculatedColumnFormula>
    </tableColumn>
  </tableColumns>
  <tableStyleInfo name="TableStyleMedium1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DBD6D8B0-D599-4657-9BD9-0F318400B134}" name="Helper" displayName="Helper" ref="A14:E23" totalsRowShown="0" headerRowDxfId="19" dataDxfId="18">
  <autoFilter ref="A14:E23" xr:uid="{DBD6D8B0-D599-4657-9BD9-0F318400B134}">
    <filterColumn colId="0" hiddenButton="1"/>
    <filterColumn colId="1" hiddenButton="1"/>
    <filterColumn colId="2" hiddenButton="1"/>
    <filterColumn colId="3" hiddenButton="1"/>
    <filterColumn colId="4" hiddenButton="1"/>
  </autoFilter>
  <tableColumns count="5">
    <tableColumn id="1" xr3:uid="{944CC02F-B73C-4015-913B-3A494A2C8472}" name="Percentiles" dataDxfId="17"/>
    <tableColumn id="2" xr3:uid="{07DFAAD1-9368-49C3-A9DC-83E7D82DA598}" name=" Budget Thresholds" dataDxfId="16">
      <calculatedColumnFormula array="1">_xlfn.PERCENTILE.INC(IF(Data[InNode]=1, Data[Budget]), Helper[[#This Row],[Percentiles]])</calculatedColumnFormula>
    </tableColumn>
    <tableColumn id="3" xr3:uid="{E3B95204-0C10-4293-B906-051B706B96E8}" name="Planned Duration Thresholds" dataDxfId="15">
      <calculatedColumnFormula array="1">_xlfn.PERCENTILE.INC(IF(Data[InNode]=1, Data[Planned Duration (months)]), Helper[[#This Row],[Percentiles]])</calculatedColumnFormula>
    </tableColumn>
    <tableColumn id="4" xr3:uid="{63661E7C-4898-415F-B851-12EBFAA68F8F}" name="Team Size Thresholds" dataDxfId="14">
      <calculatedColumnFormula array="1">_xlfn.PERCENTILE.INC(IF(Data[InNode]=1, Data[Team Size ('# FTE)]), Helper[[#This Row],[Percentiles]])</calculatedColumnFormula>
    </tableColumn>
    <tableColumn id="5" xr3:uid="{102D7523-CDAC-40F1-9805-3181782C30AF}" name="Schedule Overage Thresholds" dataDxfId="13">
      <calculatedColumnFormula array="1">_xlfn.PERCENTILE.INC(IF(Data[InNode]=1, Data[Schedule Overage (days)]), Helper[[#This Row],[Percentiles]])</calculatedColumnFormula>
    </tableColumn>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2493FD7-5E28-41A9-9B78-EB64A32639FD}" name="Candidates" displayName="Candidates" ref="A28:K69" totalsRowShown="0" headerRowDxfId="12" dataDxfId="11">
  <autoFilter ref="A28:K69" xr:uid="{B2493FD7-5E28-41A9-9B78-EB64A32639FD}">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autoFilter>
  <tableColumns count="11">
    <tableColumn id="1" xr3:uid="{5E7A5821-EC5D-44FC-B4C7-FD190931DA95}" name="Predictor" dataDxfId="10"/>
    <tableColumn id="2" xr3:uid="{C8C3E6AB-4719-4B29-90E7-F6FF6DF71091}" name="Specification" dataDxfId="9"/>
    <tableColumn id="3" xr3:uid="{EB21E384-DA2B-4ABC-83A0-09B8B8F1C002}" name="Threshold/Category" dataDxfId="8"/>
    <tableColumn id="4" xr3:uid="{9D9A41E9-281A-4B4F-A8CC-73C799A3574C}" name="Number Left" dataDxfId="7">
      <calculatedColumnFormula array="1">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calculatedColumnFormula>
    </tableColumn>
    <tableColumn id="5" xr3:uid="{45D3ADDE-F821-4A50-A425-AFB5139531D0}" name="Left Canceled" dataDxfId="6">
      <calculatedColumnFormula array="1">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--(Data[Canceled]="Yes")
)</calculatedColumnFormula>
    </tableColumn>
    <tableColumn id="6" xr3:uid="{038616B0-F0F8-4298-AA9C-6DC92E5D76F3}" name="Gini Left" dataDxfId="5">
      <calculatedColumnFormula>_xlfn.LET(_xlpm.n,Candidates[[#This Row],[Number Left]], _xlpm.y,Candidates[[#This Row],[Left Canceled]], IF(_xlpm.n=0,0, 1-(_xlpm.y/_xlpm.n)^2-((_xlpm.n-_xlpm.y)/_xlpm.n)^2))</calculatedColumnFormula>
    </tableColumn>
    <tableColumn id="7" xr3:uid="{BFBA76AA-09B3-4D37-AE16-3E365E1F3256}" name="Number Right" dataDxfId="4">
      <calculatedColumnFormula array="1">Np - Candidates[[#This Row],[Number Left]]</calculatedColumnFormula>
    </tableColumn>
    <tableColumn id="8" xr3:uid="{11091CD7-4B3B-4D9E-85B5-7BEF77A2A71A}" name="Right Canceled" dataDxfId="3"/>
    <tableColumn id="9" xr3:uid="{6B7CDE05-EF33-42B5-9E33-EC3191E892C0}" name="Gini Right" dataDxfId="2">
      <calculatedColumnFormula>_xlfn.LET(_xlpm.n,Candidates[[#This Row],[Number Right]], _xlpm.y,Candidates[[#This Row],[Right Canceled]], IF(_xlpm.n=0,0, 1-(_xlpm.y/_xlpm.n)^2-((_xlpm.n-_xlpm.y)/_xlpm.n)^2))</calculatedColumnFormula>
    </tableColumn>
    <tableColumn id="10" xr3:uid="{D8EECDE5-6738-48B8-8E59-E024D312572B}" name="Weighted Impurity" dataDxfId="1">
      <calculatedColumnFormula>IF(Np=0,
   0,
   (Candidates[[#This Row],[Number Left]]/Np)*Candidates[[#This Row],[Gini Left]] + (Candidates[[#This Row],[Number Right]]/Np)*Candidates[[#This Row],[Gini Right]]
)</calculatedColumnFormula>
    </tableColumn>
    <tableColumn id="11" xr3:uid="{0EBE91B7-DF25-41B7-8959-0AA73941C7E9}" name="Gain" dataDxfId="0">
      <calculatedColumnFormula>GiniParent - Candidates[[#This Row],[Weighted Impurity]]</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Custom 3">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7"/>
  </sheetPr>
  <dimension ref="A1:N214"/>
  <sheetViews>
    <sheetView showGridLines="0" tabSelected="1" workbookViewId="0">
      <selection sqref="A1:N1"/>
    </sheetView>
  </sheetViews>
  <sheetFormatPr defaultRowHeight="14.4" x14ac:dyDescent="0.3"/>
  <cols>
    <col min="1" max="1" width="5.5546875" customWidth="1"/>
    <col min="2" max="2" width="13.88671875" customWidth="1"/>
    <col min="3" max="3" width="24.44140625" customWidth="1"/>
    <col min="4" max="4" width="15.5546875" bestFit="1" customWidth="1"/>
    <col min="5" max="5" width="22.33203125" customWidth="1"/>
    <col min="6" max="6" width="17.6640625" customWidth="1"/>
    <col min="7" max="7" width="12.6640625" customWidth="1"/>
    <col min="8" max="8" width="8.88671875" customWidth="1"/>
    <col min="9" max="9" width="7.6640625" customWidth="1"/>
    <col min="10" max="10" width="12.6640625" customWidth="1"/>
    <col min="11" max="11" width="6.6640625" customWidth="1"/>
    <col min="12" max="12" width="7.33203125" customWidth="1"/>
    <col min="13" max="13" width="9.44140625" customWidth="1"/>
    <col min="14" max="14" width="13.44140625" bestFit="1" customWidth="1"/>
  </cols>
  <sheetData>
    <row r="1" spans="1:14" ht="48" customHeight="1" thickBot="1" x14ac:dyDescent="0.35">
      <c r="A1" s="102" t="s">
        <v>0</v>
      </c>
      <c r="B1" s="103"/>
      <c r="C1" s="103"/>
      <c r="D1" s="103"/>
      <c r="E1" s="103"/>
      <c r="F1" s="103"/>
      <c r="G1" s="103"/>
      <c r="H1" s="103"/>
      <c r="I1" s="103"/>
      <c r="J1" s="103"/>
      <c r="K1" s="103"/>
      <c r="L1" s="103"/>
      <c r="M1" s="103"/>
      <c r="N1" s="104"/>
    </row>
    <row r="2" spans="1:14" ht="85.2" customHeight="1" thickBot="1" x14ac:dyDescent="0.35">
      <c r="A2" s="3"/>
      <c r="B2" s="4"/>
      <c r="C2" s="4"/>
      <c r="D2" s="105" t="s">
        <v>1</v>
      </c>
      <c r="E2" s="105"/>
      <c r="F2" s="105"/>
      <c r="G2" s="105"/>
      <c r="H2" s="105"/>
      <c r="I2" s="105"/>
      <c r="J2" s="105"/>
      <c r="K2" s="105"/>
      <c r="L2" s="105"/>
      <c r="M2" s="105"/>
      <c r="N2" s="106"/>
    </row>
    <row r="4" spans="1:14" ht="15" thickBot="1" x14ac:dyDescent="0.35"/>
    <row r="5" spans="1:14" ht="21" customHeight="1" thickBot="1" x14ac:dyDescent="0.35">
      <c r="B5" s="109" t="s">
        <v>2</v>
      </c>
      <c r="C5" s="20" t="s">
        <v>3</v>
      </c>
      <c r="D5" s="112" t="s">
        <v>4</v>
      </c>
      <c r="E5" s="112"/>
      <c r="F5" s="112"/>
      <c r="G5" s="112"/>
      <c r="H5" s="112"/>
      <c r="I5" s="112"/>
      <c r="J5" s="112"/>
      <c r="K5" s="112"/>
      <c r="L5" s="112"/>
      <c r="M5" s="113"/>
    </row>
    <row r="6" spans="1:14" ht="21" customHeight="1" x14ac:dyDescent="0.3">
      <c r="B6" s="110"/>
      <c r="C6" s="95" t="s">
        <v>5</v>
      </c>
      <c r="D6" s="114" t="s">
        <v>6</v>
      </c>
      <c r="E6" s="115"/>
      <c r="F6" s="115"/>
      <c r="G6" s="115"/>
      <c r="H6" s="115"/>
      <c r="I6" s="115"/>
      <c r="J6" s="115"/>
      <c r="K6" s="115"/>
      <c r="L6" s="115"/>
      <c r="M6" s="116"/>
    </row>
    <row r="7" spans="1:14" ht="21" customHeight="1" x14ac:dyDescent="0.3">
      <c r="B7" s="110"/>
      <c r="C7" s="96" t="s">
        <v>7</v>
      </c>
      <c r="D7" s="117" t="s">
        <v>8</v>
      </c>
      <c r="E7" s="118"/>
      <c r="F7" s="118"/>
      <c r="G7" s="118"/>
      <c r="H7" s="118"/>
      <c r="I7" s="118"/>
      <c r="J7" s="118"/>
      <c r="K7" s="118"/>
      <c r="L7" s="118"/>
      <c r="M7" s="119"/>
    </row>
    <row r="8" spans="1:14" ht="21" customHeight="1" x14ac:dyDescent="0.3">
      <c r="B8" s="110"/>
      <c r="C8" s="97" t="s">
        <v>9</v>
      </c>
      <c r="D8" s="120" t="s">
        <v>10</v>
      </c>
      <c r="E8" s="121"/>
      <c r="F8" s="121"/>
      <c r="G8" s="121"/>
      <c r="H8" s="121"/>
      <c r="I8" s="121"/>
      <c r="J8" s="121"/>
      <c r="K8" s="121"/>
      <c r="L8" s="121"/>
      <c r="M8" s="122"/>
    </row>
    <row r="9" spans="1:14" ht="21" customHeight="1" thickBot="1" x14ac:dyDescent="0.35">
      <c r="B9" s="111"/>
      <c r="C9" s="98" t="s">
        <v>11</v>
      </c>
      <c r="D9" s="123" t="s">
        <v>12</v>
      </c>
      <c r="E9" s="124"/>
      <c r="F9" s="124"/>
      <c r="G9" s="124"/>
      <c r="H9" s="124"/>
      <c r="I9" s="124"/>
      <c r="J9" s="124"/>
      <c r="K9" s="124"/>
      <c r="L9" s="124"/>
      <c r="M9" s="125"/>
    </row>
    <row r="12" spans="1:14" ht="21.6" thickBot="1" x14ac:dyDescent="0.35">
      <c r="A12" s="107" t="s">
        <v>13</v>
      </c>
      <c r="B12" s="108"/>
      <c r="C12" s="108"/>
      <c r="D12" s="108"/>
      <c r="E12" s="108"/>
      <c r="F12" s="108"/>
      <c r="G12" s="108"/>
      <c r="H12" s="108"/>
      <c r="I12" s="108"/>
      <c r="J12" s="108"/>
      <c r="K12" s="108"/>
      <c r="L12" s="108"/>
      <c r="M12" s="108"/>
      <c r="N12" s="108"/>
    </row>
    <row r="13" spans="1:14" ht="84" customHeight="1" thickBot="1" x14ac:dyDescent="0.35">
      <c r="A13" s="99" t="s">
        <v>14</v>
      </c>
      <c r="B13" s="100"/>
      <c r="C13" s="100"/>
      <c r="D13" s="100"/>
      <c r="E13" s="100"/>
      <c r="F13" s="100"/>
      <c r="G13" s="100"/>
      <c r="H13" s="100"/>
      <c r="I13" s="100"/>
      <c r="J13" s="100"/>
      <c r="K13" s="100"/>
      <c r="L13" s="100"/>
      <c r="M13" s="100"/>
      <c r="N13" s="101"/>
    </row>
    <row r="14" spans="1:14" x14ac:dyDescent="0.3">
      <c r="A14" s="58" t="s">
        <v>15</v>
      </c>
      <c r="B14" s="58" t="s">
        <v>16</v>
      </c>
      <c r="C14" s="58" t="s">
        <v>17</v>
      </c>
      <c r="D14" s="58" t="s">
        <v>18</v>
      </c>
      <c r="E14" s="58" t="s">
        <v>19</v>
      </c>
      <c r="F14" s="58" t="s">
        <v>20</v>
      </c>
      <c r="G14" s="58" t="s">
        <v>21</v>
      </c>
      <c r="H14" s="58" t="s">
        <v>22</v>
      </c>
      <c r="I14" s="58" t="s">
        <v>23</v>
      </c>
      <c r="J14" s="58" t="s">
        <v>24</v>
      </c>
      <c r="K14" s="58" t="s">
        <v>25</v>
      </c>
      <c r="L14" s="58" t="s">
        <v>26</v>
      </c>
      <c r="M14" s="58" t="s">
        <v>27</v>
      </c>
      <c r="N14" s="58" t="s">
        <v>28</v>
      </c>
    </row>
    <row r="15" spans="1:14" x14ac:dyDescent="0.3">
      <c r="A15" s="60">
        <v>1</v>
      </c>
      <c r="B15" s="77">
        <v>1900000</v>
      </c>
      <c r="C15" s="8">
        <v>14</v>
      </c>
      <c r="D15" s="8">
        <v>7</v>
      </c>
      <c r="E15" s="8">
        <v>-6</v>
      </c>
      <c r="F15" s="8" t="s">
        <v>29</v>
      </c>
      <c r="G15" s="8" t="s">
        <v>30</v>
      </c>
      <c r="H15" s="8" t="s">
        <v>29</v>
      </c>
      <c r="I15" s="60">
        <f>IF(Active_Node="Root",1,
   IF(Active_Node="Left",--Data[[#This Row],[RootLeftMask]],
   IF(Active_Node="Right",1-Data[[#This Row],[RootLeftMask]],1)))</f>
        <v>1</v>
      </c>
      <c r="J15"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15"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15" s="60">
        <f>--(NOT(Data[[#This Row],[InLeft]]))</f>
        <v>1</v>
      </c>
      <c r="M15" s="60" t="str">
        <f>IF(Data[[#This Row],[InLeft]]=1, Left_Majority, Right_Majority)</f>
        <v>No</v>
      </c>
      <c r="N15"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16" spans="1:14" x14ac:dyDescent="0.3">
      <c r="A16" s="61">
        <v>2</v>
      </c>
      <c r="B16" s="77">
        <v>1300000</v>
      </c>
      <c r="C16" s="8">
        <v>9</v>
      </c>
      <c r="D16" s="8">
        <v>20</v>
      </c>
      <c r="E16" s="8">
        <v>12</v>
      </c>
      <c r="F16" s="8" t="s">
        <v>29</v>
      </c>
      <c r="G16" s="8" t="s">
        <v>31</v>
      </c>
      <c r="H16" s="8" t="s">
        <v>29</v>
      </c>
      <c r="I16" s="61">
        <f>IF(Active_Node="Root",1,
   IF(Active_Node="Left",--Data[[#This Row],[RootLeftMask]],
   IF(Active_Node="Right",1-Data[[#This Row],[RootLeftMask]],1)))</f>
        <v>1</v>
      </c>
      <c r="J16"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16"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16" s="61">
        <f>--(NOT(Data[[#This Row],[InLeft]]))</f>
        <v>1</v>
      </c>
      <c r="M16" s="61" t="str">
        <f>IF(Data[[#This Row],[InLeft]]=1, Left_Majority, Right_Majority)</f>
        <v>No</v>
      </c>
      <c r="N16"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17" spans="1:14" x14ac:dyDescent="0.3">
      <c r="A17" s="60">
        <v>3</v>
      </c>
      <c r="B17" s="77">
        <v>2500000</v>
      </c>
      <c r="C17" s="8">
        <v>11</v>
      </c>
      <c r="D17" s="8">
        <v>16</v>
      </c>
      <c r="E17" s="8">
        <v>79</v>
      </c>
      <c r="F17" s="8" t="s">
        <v>32</v>
      </c>
      <c r="G17" s="8" t="s">
        <v>30</v>
      </c>
      <c r="H17" s="8" t="s">
        <v>32</v>
      </c>
      <c r="I17" s="60">
        <f>IF(Active_Node="Root",1,
   IF(Active_Node="Left",--Data[[#This Row],[RootLeftMask]],
   IF(Active_Node="Right",1-Data[[#This Row],[RootLeftMask]],1)))</f>
        <v>1</v>
      </c>
      <c r="J17"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1</v>
      </c>
      <c r="K17"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1</v>
      </c>
      <c r="L17" s="60">
        <f>--(NOT(Data[[#This Row],[InLeft]]))</f>
        <v>0</v>
      </c>
      <c r="M17" s="60" t="str">
        <f>IF(Data[[#This Row],[InLeft]]=1, Left_Majority, Right_Majority)</f>
        <v>Yes</v>
      </c>
      <c r="N17"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Yes</v>
      </c>
    </row>
    <row r="18" spans="1:14" x14ac:dyDescent="0.3">
      <c r="A18" s="61">
        <v>4</v>
      </c>
      <c r="B18" s="77">
        <v>400000</v>
      </c>
      <c r="C18" s="8">
        <v>10</v>
      </c>
      <c r="D18" s="8">
        <v>14</v>
      </c>
      <c r="E18" s="8">
        <v>99</v>
      </c>
      <c r="F18" s="8" t="s">
        <v>29</v>
      </c>
      <c r="G18" s="8" t="s">
        <v>33</v>
      </c>
      <c r="H18" s="8" t="s">
        <v>29</v>
      </c>
      <c r="I18" s="61">
        <f>IF(Active_Node="Root",1,
   IF(Active_Node="Left",--Data[[#This Row],[RootLeftMask]],
   IF(Active_Node="Right",1-Data[[#This Row],[RootLeftMask]],1)))</f>
        <v>1</v>
      </c>
      <c r="J18"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18"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18" s="61">
        <f>--(NOT(Data[[#This Row],[InLeft]]))</f>
        <v>1</v>
      </c>
      <c r="M18" s="61" t="str">
        <f>IF(Data[[#This Row],[InLeft]]=1, Left_Majority, Right_Majority)</f>
        <v>No</v>
      </c>
      <c r="N18"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Yes</v>
      </c>
    </row>
    <row r="19" spans="1:14" x14ac:dyDescent="0.3">
      <c r="A19" s="60">
        <v>5</v>
      </c>
      <c r="B19" s="77">
        <v>2000000</v>
      </c>
      <c r="C19" s="8">
        <v>18</v>
      </c>
      <c r="D19" s="8">
        <v>21</v>
      </c>
      <c r="E19" s="8">
        <v>9</v>
      </c>
      <c r="F19" s="8" t="s">
        <v>29</v>
      </c>
      <c r="G19" s="8" t="s">
        <v>30</v>
      </c>
      <c r="H19" s="8" t="s">
        <v>32</v>
      </c>
      <c r="I19" s="60">
        <f>IF(Active_Node="Root",1,
   IF(Active_Node="Left",--Data[[#This Row],[RootLeftMask]],
   IF(Active_Node="Right",1-Data[[#This Row],[RootLeftMask]],1)))</f>
        <v>1</v>
      </c>
      <c r="J19"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19"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19" s="60">
        <f>--(NOT(Data[[#This Row],[InLeft]]))</f>
        <v>1</v>
      </c>
      <c r="M19" s="60" t="str">
        <f>IF(Data[[#This Row],[InLeft]]=1, Left_Majority, Right_Majority)</f>
        <v>No</v>
      </c>
      <c r="N19"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20" spans="1:14" x14ac:dyDescent="0.3">
      <c r="A20" s="61">
        <v>6</v>
      </c>
      <c r="B20" s="77">
        <v>1300000</v>
      </c>
      <c r="C20" s="8">
        <v>12</v>
      </c>
      <c r="D20" s="8">
        <v>3</v>
      </c>
      <c r="E20" s="8">
        <v>45</v>
      </c>
      <c r="F20" s="8" t="s">
        <v>32</v>
      </c>
      <c r="G20" s="8" t="s">
        <v>33</v>
      </c>
      <c r="H20" s="8" t="s">
        <v>32</v>
      </c>
      <c r="I20" s="61">
        <f>IF(Active_Node="Root",1,
   IF(Active_Node="Left",--Data[[#This Row],[RootLeftMask]],
   IF(Active_Node="Right",1-Data[[#This Row],[RootLeftMask]],1)))</f>
        <v>1</v>
      </c>
      <c r="J20"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1</v>
      </c>
      <c r="K20"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1</v>
      </c>
      <c r="L20" s="61">
        <f>--(NOT(Data[[#This Row],[InLeft]]))</f>
        <v>0</v>
      </c>
      <c r="M20" s="61" t="str">
        <f>IF(Data[[#This Row],[InLeft]]=1, Left_Majority, Right_Majority)</f>
        <v>Yes</v>
      </c>
      <c r="N20"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Yes</v>
      </c>
    </row>
    <row r="21" spans="1:14" x14ac:dyDescent="0.3">
      <c r="A21" s="60">
        <v>7</v>
      </c>
      <c r="B21" s="77">
        <v>100000</v>
      </c>
      <c r="C21" s="8">
        <v>10</v>
      </c>
      <c r="D21" s="8">
        <v>11</v>
      </c>
      <c r="E21" s="8">
        <v>118</v>
      </c>
      <c r="F21" s="8" t="s">
        <v>32</v>
      </c>
      <c r="G21" s="8" t="s">
        <v>33</v>
      </c>
      <c r="H21" s="8" t="s">
        <v>32</v>
      </c>
      <c r="I21" s="60">
        <f>IF(Active_Node="Root",1,
   IF(Active_Node="Left",--Data[[#This Row],[RootLeftMask]],
   IF(Active_Node="Right",1-Data[[#This Row],[RootLeftMask]],1)))</f>
        <v>1</v>
      </c>
      <c r="J21"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1</v>
      </c>
      <c r="K21"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1</v>
      </c>
      <c r="L21" s="60">
        <f>--(NOT(Data[[#This Row],[InLeft]]))</f>
        <v>0</v>
      </c>
      <c r="M21" s="60" t="str">
        <f>IF(Data[[#This Row],[InLeft]]=1, Left_Majority, Right_Majority)</f>
        <v>Yes</v>
      </c>
      <c r="N21"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Yes</v>
      </c>
    </row>
    <row r="22" spans="1:14" x14ac:dyDescent="0.3">
      <c r="A22" s="61">
        <v>8</v>
      </c>
      <c r="B22" s="77">
        <v>2300000</v>
      </c>
      <c r="C22" s="8">
        <v>9</v>
      </c>
      <c r="D22" s="8">
        <v>3</v>
      </c>
      <c r="E22" s="8">
        <v>46</v>
      </c>
      <c r="F22" s="8" t="s">
        <v>29</v>
      </c>
      <c r="G22" s="8" t="s">
        <v>34</v>
      </c>
      <c r="H22" s="8" t="s">
        <v>29</v>
      </c>
      <c r="I22" s="61">
        <f>IF(Active_Node="Root",1,
   IF(Active_Node="Left",--Data[[#This Row],[RootLeftMask]],
   IF(Active_Node="Right",1-Data[[#This Row],[RootLeftMask]],1)))</f>
        <v>1</v>
      </c>
      <c r="J22"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22"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22" s="61">
        <f>--(NOT(Data[[#This Row],[InLeft]]))</f>
        <v>1</v>
      </c>
      <c r="M22" s="61" t="str">
        <f>IF(Data[[#This Row],[InLeft]]=1, Left_Majority, Right_Majority)</f>
        <v>No</v>
      </c>
      <c r="N22"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23" spans="1:14" x14ac:dyDescent="0.3">
      <c r="A23" s="60">
        <v>9</v>
      </c>
      <c r="B23" s="77">
        <v>2500000</v>
      </c>
      <c r="C23" s="8">
        <v>10</v>
      </c>
      <c r="D23" s="8">
        <v>15</v>
      </c>
      <c r="E23" s="8">
        <v>48</v>
      </c>
      <c r="F23" s="8" t="s">
        <v>32</v>
      </c>
      <c r="G23" s="8" t="s">
        <v>31</v>
      </c>
      <c r="H23" s="8" t="s">
        <v>32</v>
      </c>
      <c r="I23" s="60">
        <f>IF(Active_Node="Root",1,
   IF(Active_Node="Left",--Data[[#This Row],[RootLeftMask]],
   IF(Active_Node="Right",1-Data[[#This Row],[RootLeftMask]],1)))</f>
        <v>1</v>
      </c>
      <c r="J23"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1</v>
      </c>
      <c r="K23"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1</v>
      </c>
      <c r="L23" s="60">
        <f>--(NOT(Data[[#This Row],[InLeft]]))</f>
        <v>0</v>
      </c>
      <c r="M23" s="60" t="str">
        <f>IF(Data[[#This Row],[InLeft]]=1, Left_Majority, Right_Majority)</f>
        <v>Yes</v>
      </c>
      <c r="N23"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Yes</v>
      </c>
    </row>
    <row r="24" spans="1:14" x14ac:dyDescent="0.3">
      <c r="A24" s="61">
        <v>10</v>
      </c>
      <c r="B24" s="77">
        <v>600000</v>
      </c>
      <c r="C24" s="8">
        <v>17</v>
      </c>
      <c r="D24" s="8">
        <v>9</v>
      </c>
      <c r="E24" s="8">
        <v>85</v>
      </c>
      <c r="F24" s="8" t="s">
        <v>29</v>
      </c>
      <c r="G24" s="8" t="s">
        <v>33</v>
      </c>
      <c r="H24" s="8" t="s">
        <v>32</v>
      </c>
      <c r="I24" s="61">
        <f>IF(Active_Node="Root",1,
   IF(Active_Node="Left",--Data[[#This Row],[RootLeftMask]],
   IF(Active_Node="Right",1-Data[[#This Row],[RootLeftMask]],1)))</f>
        <v>1</v>
      </c>
      <c r="J24"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24"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24" s="61">
        <f>--(NOT(Data[[#This Row],[InLeft]]))</f>
        <v>1</v>
      </c>
      <c r="M24" s="61" t="str">
        <f>IF(Data[[#This Row],[InLeft]]=1, Left_Majority, Right_Majority)</f>
        <v>No</v>
      </c>
      <c r="N24"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Yes</v>
      </c>
    </row>
    <row r="25" spans="1:14" x14ac:dyDescent="0.3">
      <c r="A25" s="60">
        <v>11</v>
      </c>
      <c r="B25" s="77">
        <v>1100000</v>
      </c>
      <c r="C25" s="8">
        <v>19</v>
      </c>
      <c r="D25" s="8">
        <v>25</v>
      </c>
      <c r="E25" s="8">
        <v>11</v>
      </c>
      <c r="F25" s="8" t="s">
        <v>29</v>
      </c>
      <c r="G25" s="8" t="s">
        <v>31</v>
      </c>
      <c r="H25" s="8" t="s">
        <v>29</v>
      </c>
      <c r="I25" s="60">
        <f>IF(Active_Node="Root",1,
   IF(Active_Node="Left",--Data[[#This Row],[RootLeftMask]],
   IF(Active_Node="Right",1-Data[[#This Row],[RootLeftMask]],1)))</f>
        <v>1</v>
      </c>
      <c r="J25"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25"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25" s="60">
        <f>--(NOT(Data[[#This Row],[InLeft]]))</f>
        <v>1</v>
      </c>
      <c r="M25" s="60" t="str">
        <f>IF(Data[[#This Row],[InLeft]]=1, Left_Majority, Right_Majority)</f>
        <v>No</v>
      </c>
      <c r="N25"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26" spans="1:14" x14ac:dyDescent="0.3">
      <c r="A26" s="61">
        <v>12</v>
      </c>
      <c r="B26" s="77">
        <v>1500000</v>
      </c>
      <c r="C26" s="8">
        <v>13</v>
      </c>
      <c r="D26" s="8">
        <v>6</v>
      </c>
      <c r="E26" s="8">
        <v>34</v>
      </c>
      <c r="F26" s="8" t="s">
        <v>32</v>
      </c>
      <c r="G26" s="8" t="s">
        <v>34</v>
      </c>
      <c r="H26" s="8" t="s">
        <v>32</v>
      </c>
      <c r="I26" s="61">
        <f>IF(Active_Node="Root",1,
   IF(Active_Node="Left",--Data[[#This Row],[RootLeftMask]],
   IF(Active_Node="Right",1-Data[[#This Row],[RootLeftMask]],1)))</f>
        <v>1</v>
      </c>
      <c r="J26"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1</v>
      </c>
      <c r="K26"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1</v>
      </c>
      <c r="L26" s="61">
        <f>--(NOT(Data[[#This Row],[InLeft]]))</f>
        <v>0</v>
      </c>
      <c r="M26" s="61" t="str">
        <f>IF(Data[[#This Row],[InLeft]]=1, Left_Majority, Right_Majority)</f>
        <v>Yes</v>
      </c>
      <c r="N26"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Yes</v>
      </c>
    </row>
    <row r="27" spans="1:14" x14ac:dyDescent="0.3">
      <c r="A27" s="60">
        <v>13</v>
      </c>
      <c r="B27" s="77">
        <v>200000</v>
      </c>
      <c r="C27" s="8">
        <v>14</v>
      </c>
      <c r="D27" s="8">
        <v>30</v>
      </c>
      <c r="E27" s="8">
        <v>93</v>
      </c>
      <c r="F27" s="8" t="s">
        <v>29</v>
      </c>
      <c r="G27" s="8" t="s">
        <v>31</v>
      </c>
      <c r="H27" s="8" t="s">
        <v>29</v>
      </c>
      <c r="I27" s="60">
        <f>IF(Active_Node="Root",1,
   IF(Active_Node="Left",--Data[[#This Row],[RootLeftMask]],
   IF(Active_Node="Right",1-Data[[#This Row],[RootLeftMask]],1)))</f>
        <v>1</v>
      </c>
      <c r="J27"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27"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27" s="60">
        <f>--(NOT(Data[[#This Row],[InLeft]]))</f>
        <v>1</v>
      </c>
      <c r="M27" s="60" t="str">
        <f>IF(Data[[#This Row],[InLeft]]=1, Left_Majority, Right_Majority)</f>
        <v>No</v>
      </c>
      <c r="N27"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Yes</v>
      </c>
    </row>
    <row r="28" spans="1:14" x14ac:dyDescent="0.3">
      <c r="A28" s="61">
        <v>14</v>
      </c>
      <c r="B28" s="77">
        <v>900000</v>
      </c>
      <c r="C28" s="8">
        <v>9</v>
      </c>
      <c r="D28" s="8">
        <v>7</v>
      </c>
      <c r="E28" s="8">
        <v>3</v>
      </c>
      <c r="F28" s="8" t="s">
        <v>29</v>
      </c>
      <c r="G28" s="8" t="s">
        <v>31</v>
      </c>
      <c r="H28" s="8" t="s">
        <v>32</v>
      </c>
      <c r="I28" s="61">
        <f>IF(Active_Node="Root",1,
   IF(Active_Node="Left",--Data[[#This Row],[RootLeftMask]],
   IF(Active_Node="Right",1-Data[[#This Row],[RootLeftMask]],1)))</f>
        <v>1</v>
      </c>
      <c r="J28"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28"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28" s="61">
        <f>--(NOT(Data[[#This Row],[InLeft]]))</f>
        <v>1</v>
      </c>
      <c r="M28" s="61" t="str">
        <f>IF(Data[[#This Row],[InLeft]]=1, Left_Majority, Right_Majority)</f>
        <v>No</v>
      </c>
      <c r="N28"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29" spans="1:14" x14ac:dyDescent="0.3">
      <c r="A29" s="60">
        <v>15</v>
      </c>
      <c r="B29" s="77">
        <v>600000</v>
      </c>
      <c r="C29" s="8">
        <v>19</v>
      </c>
      <c r="D29" s="8">
        <v>28</v>
      </c>
      <c r="E29" s="8">
        <v>39</v>
      </c>
      <c r="F29" s="8" t="s">
        <v>29</v>
      </c>
      <c r="G29" s="8" t="s">
        <v>30</v>
      </c>
      <c r="H29" s="8" t="s">
        <v>32</v>
      </c>
      <c r="I29" s="60">
        <f>IF(Active_Node="Root",1,
   IF(Active_Node="Left",--Data[[#This Row],[RootLeftMask]],
   IF(Active_Node="Right",1-Data[[#This Row],[RootLeftMask]],1)))</f>
        <v>1</v>
      </c>
      <c r="J29"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29"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29" s="60">
        <f>--(NOT(Data[[#This Row],[InLeft]]))</f>
        <v>1</v>
      </c>
      <c r="M29" s="60" t="str">
        <f>IF(Data[[#This Row],[InLeft]]=1, Left_Majority, Right_Majority)</f>
        <v>No</v>
      </c>
      <c r="N29"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Yes</v>
      </c>
    </row>
    <row r="30" spans="1:14" x14ac:dyDescent="0.3">
      <c r="A30" s="61">
        <v>16</v>
      </c>
      <c r="B30" s="77">
        <v>2400000</v>
      </c>
      <c r="C30" s="8">
        <v>9</v>
      </c>
      <c r="D30" s="8">
        <v>15</v>
      </c>
      <c r="E30" s="8">
        <v>115</v>
      </c>
      <c r="F30" s="8" t="s">
        <v>32</v>
      </c>
      <c r="G30" s="8" t="s">
        <v>31</v>
      </c>
      <c r="H30" s="8" t="s">
        <v>32</v>
      </c>
      <c r="I30" s="61">
        <f>IF(Active_Node="Root",1,
   IF(Active_Node="Left",--Data[[#This Row],[RootLeftMask]],
   IF(Active_Node="Right",1-Data[[#This Row],[RootLeftMask]],1)))</f>
        <v>1</v>
      </c>
      <c r="J30"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1</v>
      </c>
      <c r="K30"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1</v>
      </c>
      <c r="L30" s="61">
        <f>--(NOT(Data[[#This Row],[InLeft]]))</f>
        <v>0</v>
      </c>
      <c r="M30" s="61" t="str">
        <f>IF(Data[[#This Row],[InLeft]]=1, Left_Majority, Right_Majority)</f>
        <v>Yes</v>
      </c>
      <c r="N30"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Yes</v>
      </c>
    </row>
    <row r="31" spans="1:14" x14ac:dyDescent="0.3">
      <c r="A31" s="60">
        <v>17</v>
      </c>
      <c r="B31" s="77">
        <v>600000</v>
      </c>
      <c r="C31" s="8">
        <v>21</v>
      </c>
      <c r="D31" s="8">
        <v>14</v>
      </c>
      <c r="E31" s="8">
        <v>104</v>
      </c>
      <c r="F31" s="8" t="s">
        <v>29</v>
      </c>
      <c r="G31" s="8" t="s">
        <v>33</v>
      </c>
      <c r="H31" s="8" t="s">
        <v>32</v>
      </c>
      <c r="I31" s="60">
        <f>IF(Active_Node="Root",1,
   IF(Active_Node="Left",--Data[[#This Row],[RootLeftMask]],
   IF(Active_Node="Right",1-Data[[#This Row],[RootLeftMask]],1)))</f>
        <v>1</v>
      </c>
      <c r="J31"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31"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31" s="60">
        <f>--(NOT(Data[[#This Row],[InLeft]]))</f>
        <v>1</v>
      </c>
      <c r="M31" s="60" t="str">
        <f>IF(Data[[#This Row],[InLeft]]=1, Left_Majority, Right_Majority)</f>
        <v>No</v>
      </c>
      <c r="N31"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Yes</v>
      </c>
    </row>
    <row r="32" spans="1:14" x14ac:dyDescent="0.3">
      <c r="A32" s="61">
        <v>18</v>
      </c>
      <c r="B32" s="77">
        <v>1600000</v>
      </c>
      <c r="C32" s="8">
        <v>11</v>
      </c>
      <c r="D32" s="8">
        <v>3</v>
      </c>
      <c r="E32" s="8">
        <v>36</v>
      </c>
      <c r="F32" s="8" t="s">
        <v>32</v>
      </c>
      <c r="G32" s="8" t="s">
        <v>33</v>
      </c>
      <c r="H32" s="8" t="s">
        <v>32</v>
      </c>
      <c r="I32" s="61">
        <f>IF(Active_Node="Root",1,
   IF(Active_Node="Left",--Data[[#This Row],[RootLeftMask]],
   IF(Active_Node="Right",1-Data[[#This Row],[RootLeftMask]],1)))</f>
        <v>1</v>
      </c>
      <c r="J32"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1</v>
      </c>
      <c r="K32"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1</v>
      </c>
      <c r="L32" s="61">
        <f>--(NOT(Data[[#This Row],[InLeft]]))</f>
        <v>0</v>
      </c>
      <c r="M32" s="61" t="str">
        <f>IF(Data[[#This Row],[InLeft]]=1, Left_Majority, Right_Majority)</f>
        <v>Yes</v>
      </c>
      <c r="N32"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Yes</v>
      </c>
    </row>
    <row r="33" spans="1:14" x14ac:dyDescent="0.3">
      <c r="A33" s="60">
        <v>19</v>
      </c>
      <c r="B33" s="77">
        <v>2100000</v>
      </c>
      <c r="C33" s="8">
        <v>8</v>
      </c>
      <c r="D33" s="8">
        <v>15</v>
      </c>
      <c r="E33" s="8">
        <v>106</v>
      </c>
      <c r="F33" s="8" t="s">
        <v>29</v>
      </c>
      <c r="G33" s="8" t="s">
        <v>30</v>
      </c>
      <c r="H33" s="8" t="s">
        <v>29</v>
      </c>
      <c r="I33" s="60">
        <f>IF(Active_Node="Root",1,
   IF(Active_Node="Left",--Data[[#This Row],[RootLeftMask]],
   IF(Active_Node="Right",1-Data[[#This Row],[RootLeftMask]],1)))</f>
        <v>1</v>
      </c>
      <c r="J33"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33"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33" s="60">
        <f>--(NOT(Data[[#This Row],[InLeft]]))</f>
        <v>1</v>
      </c>
      <c r="M33" s="60" t="str">
        <f>IF(Data[[#This Row],[InLeft]]=1, Left_Majority, Right_Majority)</f>
        <v>No</v>
      </c>
      <c r="N33"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34" spans="1:14" x14ac:dyDescent="0.3">
      <c r="A34" s="61">
        <v>20</v>
      </c>
      <c r="B34" s="77">
        <v>1700000</v>
      </c>
      <c r="C34" s="8">
        <v>13</v>
      </c>
      <c r="D34" s="8">
        <v>11</v>
      </c>
      <c r="E34" s="8">
        <v>77</v>
      </c>
      <c r="F34" s="8" t="s">
        <v>32</v>
      </c>
      <c r="G34" s="8" t="s">
        <v>34</v>
      </c>
      <c r="H34" s="8" t="s">
        <v>32</v>
      </c>
      <c r="I34" s="61">
        <f>IF(Active_Node="Root",1,
   IF(Active_Node="Left",--Data[[#This Row],[RootLeftMask]],
   IF(Active_Node="Right",1-Data[[#This Row],[RootLeftMask]],1)))</f>
        <v>1</v>
      </c>
      <c r="J34"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1</v>
      </c>
      <c r="K34"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1</v>
      </c>
      <c r="L34" s="61">
        <f>--(NOT(Data[[#This Row],[InLeft]]))</f>
        <v>0</v>
      </c>
      <c r="M34" s="61" t="str">
        <f>IF(Data[[#This Row],[InLeft]]=1, Left_Majority, Right_Majority)</f>
        <v>Yes</v>
      </c>
      <c r="N34"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Yes</v>
      </c>
    </row>
    <row r="35" spans="1:14" x14ac:dyDescent="0.3">
      <c r="A35" s="60">
        <v>21</v>
      </c>
      <c r="B35" s="77">
        <v>100000</v>
      </c>
      <c r="C35" s="8">
        <v>14</v>
      </c>
      <c r="D35" s="8">
        <v>14</v>
      </c>
      <c r="E35" s="8">
        <v>19</v>
      </c>
      <c r="F35" s="8" t="s">
        <v>29</v>
      </c>
      <c r="G35" s="8" t="s">
        <v>34</v>
      </c>
      <c r="H35" s="8" t="s">
        <v>29</v>
      </c>
      <c r="I35" s="60">
        <f>IF(Active_Node="Root",1,
   IF(Active_Node="Left",--Data[[#This Row],[RootLeftMask]],
   IF(Active_Node="Right",1-Data[[#This Row],[RootLeftMask]],1)))</f>
        <v>1</v>
      </c>
      <c r="J35"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35"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35" s="60">
        <f>--(NOT(Data[[#This Row],[InLeft]]))</f>
        <v>1</v>
      </c>
      <c r="M35" s="60" t="str">
        <f>IF(Data[[#This Row],[InLeft]]=1, Left_Majority, Right_Majority)</f>
        <v>No</v>
      </c>
      <c r="N35"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Yes</v>
      </c>
    </row>
    <row r="36" spans="1:14" x14ac:dyDescent="0.3">
      <c r="A36" s="61">
        <v>22</v>
      </c>
      <c r="B36" s="77">
        <v>2200000</v>
      </c>
      <c r="C36" s="8">
        <v>9</v>
      </c>
      <c r="D36" s="8">
        <v>19</v>
      </c>
      <c r="E36" s="8">
        <v>112</v>
      </c>
      <c r="F36" s="8" t="s">
        <v>32</v>
      </c>
      <c r="G36" s="8" t="s">
        <v>31</v>
      </c>
      <c r="H36" s="8" t="s">
        <v>32</v>
      </c>
      <c r="I36" s="61">
        <f>IF(Active_Node="Root",1,
   IF(Active_Node="Left",--Data[[#This Row],[RootLeftMask]],
   IF(Active_Node="Right",1-Data[[#This Row],[RootLeftMask]],1)))</f>
        <v>1</v>
      </c>
      <c r="J36"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1</v>
      </c>
      <c r="K36"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1</v>
      </c>
      <c r="L36" s="61">
        <f>--(NOT(Data[[#This Row],[InLeft]]))</f>
        <v>0</v>
      </c>
      <c r="M36" s="61" t="str">
        <f>IF(Data[[#This Row],[InLeft]]=1, Left_Majority, Right_Majority)</f>
        <v>Yes</v>
      </c>
      <c r="N36"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Yes</v>
      </c>
    </row>
    <row r="37" spans="1:14" x14ac:dyDescent="0.3">
      <c r="A37" s="60">
        <v>23</v>
      </c>
      <c r="B37" s="77">
        <v>400000</v>
      </c>
      <c r="C37" s="8">
        <v>6</v>
      </c>
      <c r="D37" s="8">
        <v>3</v>
      </c>
      <c r="E37" s="8">
        <v>107</v>
      </c>
      <c r="F37" s="8" t="s">
        <v>29</v>
      </c>
      <c r="G37" s="8" t="s">
        <v>30</v>
      </c>
      <c r="H37" s="8" t="s">
        <v>32</v>
      </c>
      <c r="I37" s="60">
        <f>IF(Active_Node="Root",1,
   IF(Active_Node="Left",--Data[[#This Row],[RootLeftMask]],
   IF(Active_Node="Right",1-Data[[#This Row],[RootLeftMask]],1)))</f>
        <v>1</v>
      </c>
      <c r="J37"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37"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37" s="60">
        <f>--(NOT(Data[[#This Row],[InLeft]]))</f>
        <v>1</v>
      </c>
      <c r="M37" s="60" t="str">
        <f>IF(Data[[#This Row],[InLeft]]=1, Left_Majority, Right_Majority)</f>
        <v>No</v>
      </c>
      <c r="N37"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Yes</v>
      </c>
    </row>
    <row r="38" spans="1:14" x14ac:dyDescent="0.3">
      <c r="A38" s="61">
        <v>24</v>
      </c>
      <c r="B38" s="77">
        <v>500000</v>
      </c>
      <c r="C38" s="8">
        <v>8</v>
      </c>
      <c r="D38" s="8">
        <v>15</v>
      </c>
      <c r="E38" s="8">
        <v>71</v>
      </c>
      <c r="F38" s="8" t="s">
        <v>32</v>
      </c>
      <c r="G38" s="8" t="s">
        <v>30</v>
      </c>
      <c r="H38" s="8" t="s">
        <v>29</v>
      </c>
      <c r="I38" s="61">
        <f>IF(Active_Node="Root",1,
   IF(Active_Node="Left",--Data[[#This Row],[RootLeftMask]],
   IF(Active_Node="Right",1-Data[[#This Row],[RootLeftMask]],1)))</f>
        <v>1</v>
      </c>
      <c r="J38"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1</v>
      </c>
      <c r="K38"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1</v>
      </c>
      <c r="L38" s="61">
        <f>--(NOT(Data[[#This Row],[InLeft]]))</f>
        <v>0</v>
      </c>
      <c r="M38" s="61" t="str">
        <f>IF(Data[[#This Row],[InLeft]]=1, Left_Majority, Right_Majority)</f>
        <v>Yes</v>
      </c>
      <c r="N38"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Yes</v>
      </c>
    </row>
    <row r="39" spans="1:14" x14ac:dyDescent="0.3">
      <c r="A39" s="60">
        <v>25</v>
      </c>
      <c r="B39" s="77">
        <v>2600000</v>
      </c>
      <c r="C39" s="8">
        <v>22</v>
      </c>
      <c r="D39" s="8">
        <v>28</v>
      </c>
      <c r="E39" s="8">
        <v>105</v>
      </c>
      <c r="F39" s="8" t="s">
        <v>29</v>
      </c>
      <c r="G39" s="8" t="s">
        <v>31</v>
      </c>
      <c r="H39" s="8" t="s">
        <v>29</v>
      </c>
      <c r="I39" s="60">
        <f>IF(Active_Node="Root",1,
   IF(Active_Node="Left",--Data[[#This Row],[RootLeftMask]],
   IF(Active_Node="Right",1-Data[[#This Row],[RootLeftMask]],1)))</f>
        <v>1</v>
      </c>
      <c r="J39"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39"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39" s="60">
        <f>--(NOT(Data[[#This Row],[InLeft]]))</f>
        <v>1</v>
      </c>
      <c r="M39" s="60" t="str">
        <f>IF(Data[[#This Row],[InLeft]]=1, Left_Majority, Right_Majority)</f>
        <v>No</v>
      </c>
      <c r="N39"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40" spans="1:14" x14ac:dyDescent="0.3">
      <c r="A40" s="61">
        <v>26</v>
      </c>
      <c r="B40" s="77">
        <v>1800000</v>
      </c>
      <c r="C40" s="8">
        <v>20</v>
      </c>
      <c r="D40" s="8">
        <v>5</v>
      </c>
      <c r="E40" s="8">
        <v>0</v>
      </c>
      <c r="F40" s="8" t="s">
        <v>29</v>
      </c>
      <c r="G40" s="8" t="s">
        <v>31</v>
      </c>
      <c r="H40" s="8" t="s">
        <v>29</v>
      </c>
      <c r="I40" s="61">
        <f>IF(Active_Node="Root",1,
   IF(Active_Node="Left",--Data[[#This Row],[RootLeftMask]],
   IF(Active_Node="Right",1-Data[[#This Row],[RootLeftMask]],1)))</f>
        <v>1</v>
      </c>
      <c r="J40"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40"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40" s="61">
        <f>--(NOT(Data[[#This Row],[InLeft]]))</f>
        <v>1</v>
      </c>
      <c r="M40" s="61" t="str">
        <f>IF(Data[[#This Row],[InLeft]]=1, Left_Majority, Right_Majority)</f>
        <v>No</v>
      </c>
      <c r="N40"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41" spans="1:14" x14ac:dyDescent="0.3">
      <c r="A41" s="60">
        <v>27</v>
      </c>
      <c r="B41" s="77">
        <v>1700000</v>
      </c>
      <c r="C41" s="8">
        <v>9</v>
      </c>
      <c r="D41" s="8">
        <v>10</v>
      </c>
      <c r="E41" s="8">
        <v>63</v>
      </c>
      <c r="F41" s="8" t="s">
        <v>29</v>
      </c>
      <c r="G41" s="8" t="s">
        <v>33</v>
      </c>
      <c r="H41" s="8" t="s">
        <v>29</v>
      </c>
      <c r="I41" s="60">
        <f>IF(Active_Node="Root",1,
   IF(Active_Node="Left",--Data[[#This Row],[RootLeftMask]],
   IF(Active_Node="Right",1-Data[[#This Row],[RootLeftMask]],1)))</f>
        <v>1</v>
      </c>
      <c r="J41"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41"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41" s="60">
        <f>--(NOT(Data[[#This Row],[InLeft]]))</f>
        <v>1</v>
      </c>
      <c r="M41" s="60" t="str">
        <f>IF(Data[[#This Row],[InLeft]]=1, Left_Majority, Right_Majority)</f>
        <v>No</v>
      </c>
      <c r="N41"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42" spans="1:14" x14ac:dyDescent="0.3">
      <c r="A42" s="61">
        <v>28</v>
      </c>
      <c r="B42" s="77">
        <v>2400000</v>
      </c>
      <c r="C42" s="8">
        <v>10</v>
      </c>
      <c r="D42" s="8">
        <v>20</v>
      </c>
      <c r="E42" s="8">
        <v>46</v>
      </c>
      <c r="F42" s="8" t="s">
        <v>32</v>
      </c>
      <c r="G42" s="8" t="s">
        <v>34</v>
      </c>
      <c r="H42" s="8" t="s">
        <v>32</v>
      </c>
      <c r="I42" s="61">
        <f>IF(Active_Node="Root",1,
   IF(Active_Node="Left",--Data[[#This Row],[RootLeftMask]],
   IF(Active_Node="Right",1-Data[[#This Row],[RootLeftMask]],1)))</f>
        <v>1</v>
      </c>
      <c r="J42"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1</v>
      </c>
      <c r="K42"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1</v>
      </c>
      <c r="L42" s="61">
        <f>--(NOT(Data[[#This Row],[InLeft]]))</f>
        <v>0</v>
      </c>
      <c r="M42" s="61" t="str">
        <f>IF(Data[[#This Row],[InLeft]]=1, Left_Majority, Right_Majority)</f>
        <v>Yes</v>
      </c>
      <c r="N42"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Yes</v>
      </c>
    </row>
    <row r="43" spans="1:14" x14ac:dyDescent="0.3">
      <c r="A43" s="60">
        <v>29</v>
      </c>
      <c r="B43" s="77">
        <v>1200000</v>
      </c>
      <c r="C43" s="8">
        <v>16</v>
      </c>
      <c r="D43" s="8">
        <v>18</v>
      </c>
      <c r="E43" s="8">
        <v>3</v>
      </c>
      <c r="F43" s="8" t="s">
        <v>32</v>
      </c>
      <c r="G43" s="8" t="s">
        <v>30</v>
      </c>
      <c r="H43" s="8" t="s">
        <v>29</v>
      </c>
      <c r="I43" s="60">
        <f>IF(Active_Node="Root",1,
   IF(Active_Node="Left",--Data[[#This Row],[RootLeftMask]],
   IF(Active_Node="Right",1-Data[[#This Row],[RootLeftMask]],1)))</f>
        <v>1</v>
      </c>
      <c r="J43"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1</v>
      </c>
      <c r="K43"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1</v>
      </c>
      <c r="L43" s="60">
        <f>--(NOT(Data[[#This Row],[InLeft]]))</f>
        <v>0</v>
      </c>
      <c r="M43" s="60" t="str">
        <f>IF(Data[[#This Row],[InLeft]]=1, Left_Majority, Right_Majority)</f>
        <v>Yes</v>
      </c>
      <c r="N43"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44" spans="1:14" x14ac:dyDescent="0.3">
      <c r="A44" s="61">
        <v>30</v>
      </c>
      <c r="B44" s="77">
        <v>1400000</v>
      </c>
      <c r="C44" s="8">
        <v>17</v>
      </c>
      <c r="D44" s="8">
        <v>4</v>
      </c>
      <c r="E44" s="8">
        <v>112</v>
      </c>
      <c r="F44" s="8" t="s">
        <v>29</v>
      </c>
      <c r="G44" s="8" t="s">
        <v>33</v>
      </c>
      <c r="H44" s="8" t="s">
        <v>29</v>
      </c>
      <c r="I44" s="61">
        <f>IF(Active_Node="Root",1,
   IF(Active_Node="Left",--Data[[#This Row],[RootLeftMask]],
   IF(Active_Node="Right",1-Data[[#This Row],[RootLeftMask]],1)))</f>
        <v>1</v>
      </c>
      <c r="J44"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44"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44" s="61">
        <f>--(NOT(Data[[#This Row],[InLeft]]))</f>
        <v>1</v>
      </c>
      <c r="M44" s="61" t="str">
        <f>IF(Data[[#This Row],[InLeft]]=1, Left_Majority, Right_Majority)</f>
        <v>No</v>
      </c>
      <c r="N44"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45" spans="1:14" x14ac:dyDescent="0.3">
      <c r="A45" s="60">
        <v>31</v>
      </c>
      <c r="B45" s="77">
        <v>100000</v>
      </c>
      <c r="C45" s="8">
        <v>14</v>
      </c>
      <c r="D45" s="8">
        <v>25</v>
      </c>
      <c r="E45" s="8">
        <v>22</v>
      </c>
      <c r="F45" s="8" t="s">
        <v>29</v>
      </c>
      <c r="G45" s="8" t="s">
        <v>31</v>
      </c>
      <c r="H45" s="8" t="s">
        <v>29</v>
      </c>
      <c r="I45" s="60">
        <f>IF(Active_Node="Root",1,
   IF(Active_Node="Left",--Data[[#This Row],[RootLeftMask]],
   IF(Active_Node="Right",1-Data[[#This Row],[RootLeftMask]],1)))</f>
        <v>1</v>
      </c>
      <c r="J45"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45"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45" s="60">
        <f>--(NOT(Data[[#This Row],[InLeft]]))</f>
        <v>1</v>
      </c>
      <c r="M45" s="60" t="str">
        <f>IF(Data[[#This Row],[InLeft]]=1, Left_Majority, Right_Majority)</f>
        <v>No</v>
      </c>
      <c r="N45"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Yes</v>
      </c>
    </row>
    <row r="46" spans="1:14" x14ac:dyDescent="0.3">
      <c r="A46" s="61">
        <v>32</v>
      </c>
      <c r="B46" s="77">
        <v>2900000</v>
      </c>
      <c r="C46" s="8">
        <v>21</v>
      </c>
      <c r="D46" s="8">
        <v>11</v>
      </c>
      <c r="E46" s="8">
        <v>29</v>
      </c>
      <c r="F46" s="8" t="s">
        <v>29</v>
      </c>
      <c r="G46" s="8" t="s">
        <v>33</v>
      </c>
      <c r="H46" s="8" t="s">
        <v>29</v>
      </c>
      <c r="I46" s="61">
        <f>IF(Active_Node="Root",1,
   IF(Active_Node="Left",--Data[[#This Row],[RootLeftMask]],
   IF(Active_Node="Right",1-Data[[#This Row],[RootLeftMask]],1)))</f>
        <v>1</v>
      </c>
      <c r="J46"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46"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46" s="61">
        <f>--(NOT(Data[[#This Row],[InLeft]]))</f>
        <v>1</v>
      </c>
      <c r="M46" s="61" t="str">
        <f>IF(Data[[#This Row],[InLeft]]=1, Left_Majority, Right_Majority)</f>
        <v>No</v>
      </c>
      <c r="N46"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47" spans="1:14" x14ac:dyDescent="0.3">
      <c r="A47" s="60">
        <v>33</v>
      </c>
      <c r="B47" s="77">
        <v>200000</v>
      </c>
      <c r="C47" s="8">
        <v>18</v>
      </c>
      <c r="D47" s="8">
        <v>18</v>
      </c>
      <c r="E47" s="8">
        <v>75</v>
      </c>
      <c r="F47" s="8" t="s">
        <v>32</v>
      </c>
      <c r="G47" s="8" t="s">
        <v>33</v>
      </c>
      <c r="H47" s="8" t="s">
        <v>32</v>
      </c>
      <c r="I47" s="60">
        <f>IF(Active_Node="Root",1,
   IF(Active_Node="Left",--Data[[#This Row],[RootLeftMask]],
   IF(Active_Node="Right",1-Data[[#This Row],[RootLeftMask]],1)))</f>
        <v>1</v>
      </c>
      <c r="J47"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1</v>
      </c>
      <c r="K47"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1</v>
      </c>
      <c r="L47" s="60">
        <f>--(NOT(Data[[#This Row],[InLeft]]))</f>
        <v>0</v>
      </c>
      <c r="M47" s="60" t="str">
        <f>IF(Data[[#This Row],[InLeft]]=1, Left_Majority, Right_Majority)</f>
        <v>Yes</v>
      </c>
      <c r="N47"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48" spans="1:14" x14ac:dyDescent="0.3">
      <c r="A48" s="61">
        <v>34</v>
      </c>
      <c r="B48" s="77">
        <v>1000000</v>
      </c>
      <c r="C48" s="8">
        <v>15</v>
      </c>
      <c r="D48" s="8">
        <v>9</v>
      </c>
      <c r="E48" s="8">
        <v>65</v>
      </c>
      <c r="F48" s="8" t="s">
        <v>29</v>
      </c>
      <c r="G48" s="8" t="s">
        <v>34</v>
      </c>
      <c r="H48" s="8" t="s">
        <v>29</v>
      </c>
      <c r="I48" s="61">
        <f>IF(Active_Node="Root",1,
   IF(Active_Node="Left",--Data[[#This Row],[RootLeftMask]],
   IF(Active_Node="Right",1-Data[[#This Row],[RootLeftMask]],1)))</f>
        <v>1</v>
      </c>
      <c r="J48"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48"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48" s="61">
        <f>--(NOT(Data[[#This Row],[InLeft]]))</f>
        <v>1</v>
      </c>
      <c r="M48" s="61" t="str">
        <f>IF(Data[[#This Row],[InLeft]]=1, Left_Majority, Right_Majority)</f>
        <v>No</v>
      </c>
      <c r="N48"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49" spans="1:14" x14ac:dyDescent="0.3">
      <c r="A49" s="60">
        <v>35</v>
      </c>
      <c r="B49" s="77">
        <v>2800000</v>
      </c>
      <c r="C49" s="8">
        <v>15</v>
      </c>
      <c r="D49" s="8">
        <v>30</v>
      </c>
      <c r="E49" s="8">
        <v>120</v>
      </c>
      <c r="F49" s="8" t="s">
        <v>29</v>
      </c>
      <c r="G49" s="8" t="s">
        <v>31</v>
      </c>
      <c r="H49" s="8" t="s">
        <v>29</v>
      </c>
      <c r="I49" s="60">
        <f>IF(Active_Node="Root",1,
   IF(Active_Node="Left",--Data[[#This Row],[RootLeftMask]],
   IF(Active_Node="Right",1-Data[[#This Row],[RootLeftMask]],1)))</f>
        <v>1</v>
      </c>
      <c r="J49"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49"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49" s="60">
        <f>--(NOT(Data[[#This Row],[InLeft]]))</f>
        <v>1</v>
      </c>
      <c r="M49" s="60" t="str">
        <f>IF(Data[[#This Row],[InLeft]]=1, Left_Majority, Right_Majority)</f>
        <v>No</v>
      </c>
      <c r="N49"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50" spans="1:14" x14ac:dyDescent="0.3">
      <c r="A50" s="61">
        <v>36</v>
      </c>
      <c r="B50" s="77">
        <v>1400000</v>
      </c>
      <c r="C50" s="8">
        <v>6</v>
      </c>
      <c r="D50" s="8">
        <v>10</v>
      </c>
      <c r="E50" s="8">
        <v>64</v>
      </c>
      <c r="F50" s="8" t="s">
        <v>29</v>
      </c>
      <c r="G50" s="8" t="s">
        <v>31</v>
      </c>
      <c r="H50" s="8" t="s">
        <v>29</v>
      </c>
      <c r="I50" s="61">
        <f>IF(Active_Node="Root",1,
   IF(Active_Node="Left",--Data[[#This Row],[RootLeftMask]],
   IF(Active_Node="Right",1-Data[[#This Row],[RootLeftMask]],1)))</f>
        <v>1</v>
      </c>
      <c r="J50"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50"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50" s="61">
        <f>--(NOT(Data[[#This Row],[InLeft]]))</f>
        <v>1</v>
      </c>
      <c r="M50" s="61" t="str">
        <f>IF(Data[[#This Row],[InLeft]]=1, Left_Majority, Right_Majority)</f>
        <v>No</v>
      </c>
      <c r="N50"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51" spans="1:14" x14ac:dyDescent="0.3">
      <c r="A51" s="60">
        <v>37</v>
      </c>
      <c r="B51" s="77">
        <v>2000000</v>
      </c>
      <c r="C51" s="8">
        <v>20</v>
      </c>
      <c r="D51" s="8">
        <v>21</v>
      </c>
      <c r="E51" s="8">
        <v>62</v>
      </c>
      <c r="F51" s="8" t="s">
        <v>29</v>
      </c>
      <c r="G51" s="8" t="s">
        <v>31</v>
      </c>
      <c r="H51" s="8" t="s">
        <v>29</v>
      </c>
      <c r="I51" s="60">
        <f>IF(Active_Node="Root",1,
   IF(Active_Node="Left",--Data[[#This Row],[RootLeftMask]],
   IF(Active_Node="Right",1-Data[[#This Row],[RootLeftMask]],1)))</f>
        <v>1</v>
      </c>
      <c r="J51"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51"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51" s="60">
        <f>--(NOT(Data[[#This Row],[InLeft]]))</f>
        <v>1</v>
      </c>
      <c r="M51" s="60" t="str">
        <f>IF(Data[[#This Row],[InLeft]]=1, Left_Majority, Right_Majority)</f>
        <v>No</v>
      </c>
      <c r="N51"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52" spans="1:14" x14ac:dyDescent="0.3">
      <c r="A52" s="61">
        <v>38</v>
      </c>
      <c r="B52" s="77">
        <v>2700000</v>
      </c>
      <c r="C52" s="8">
        <v>7</v>
      </c>
      <c r="D52" s="8">
        <v>23</v>
      </c>
      <c r="E52" s="8">
        <v>60</v>
      </c>
      <c r="F52" s="8" t="s">
        <v>29</v>
      </c>
      <c r="G52" s="8" t="s">
        <v>33</v>
      </c>
      <c r="H52" s="8" t="s">
        <v>29</v>
      </c>
      <c r="I52" s="61">
        <f>IF(Active_Node="Root",1,
   IF(Active_Node="Left",--Data[[#This Row],[RootLeftMask]],
   IF(Active_Node="Right",1-Data[[#This Row],[RootLeftMask]],1)))</f>
        <v>1</v>
      </c>
      <c r="J52"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52"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52" s="61">
        <f>--(NOT(Data[[#This Row],[InLeft]]))</f>
        <v>1</v>
      </c>
      <c r="M52" s="61" t="str">
        <f>IF(Data[[#This Row],[InLeft]]=1, Left_Majority, Right_Majority)</f>
        <v>No</v>
      </c>
      <c r="N52"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53" spans="1:14" x14ac:dyDescent="0.3">
      <c r="A53" s="60">
        <v>39</v>
      </c>
      <c r="B53" s="77">
        <v>1000000</v>
      </c>
      <c r="C53" s="8">
        <v>20</v>
      </c>
      <c r="D53" s="8">
        <v>20</v>
      </c>
      <c r="E53" s="8">
        <v>52</v>
      </c>
      <c r="F53" s="8" t="s">
        <v>29</v>
      </c>
      <c r="G53" s="8" t="s">
        <v>31</v>
      </c>
      <c r="H53" s="8" t="s">
        <v>29</v>
      </c>
      <c r="I53" s="60">
        <f>IF(Active_Node="Root",1,
   IF(Active_Node="Left",--Data[[#This Row],[RootLeftMask]],
   IF(Active_Node="Right",1-Data[[#This Row],[RootLeftMask]],1)))</f>
        <v>1</v>
      </c>
      <c r="J53"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53"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53" s="60">
        <f>--(NOT(Data[[#This Row],[InLeft]]))</f>
        <v>1</v>
      </c>
      <c r="M53" s="60" t="str">
        <f>IF(Data[[#This Row],[InLeft]]=1, Left_Majority, Right_Majority)</f>
        <v>No</v>
      </c>
      <c r="N53"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54" spans="1:14" x14ac:dyDescent="0.3">
      <c r="A54" s="61">
        <v>40</v>
      </c>
      <c r="B54" s="77">
        <v>1100000</v>
      </c>
      <c r="C54" s="8">
        <v>18</v>
      </c>
      <c r="D54" s="8">
        <v>13</v>
      </c>
      <c r="E54" s="8">
        <v>22</v>
      </c>
      <c r="F54" s="8" t="s">
        <v>32</v>
      </c>
      <c r="G54" s="8" t="s">
        <v>30</v>
      </c>
      <c r="H54" s="8" t="s">
        <v>32</v>
      </c>
      <c r="I54" s="61">
        <f>IF(Active_Node="Root",1,
   IF(Active_Node="Left",--Data[[#This Row],[RootLeftMask]],
   IF(Active_Node="Right",1-Data[[#This Row],[RootLeftMask]],1)))</f>
        <v>1</v>
      </c>
      <c r="J54"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1</v>
      </c>
      <c r="K54"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1</v>
      </c>
      <c r="L54" s="61">
        <f>--(NOT(Data[[#This Row],[InLeft]]))</f>
        <v>0</v>
      </c>
      <c r="M54" s="61" t="str">
        <f>IF(Data[[#This Row],[InLeft]]=1, Left_Majority, Right_Majority)</f>
        <v>Yes</v>
      </c>
      <c r="N54"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55" spans="1:14" x14ac:dyDescent="0.3">
      <c r="A55" s="60">
        <v>41</v>
      </c>
      <c r="B55" s="77">
        <v>2900000</v>
      </c>
      <c r="C55" s="8">
        <v>9</v>
      </c>
      <c r="D55" s="8">
        <v>3</v>
      </c>
      <c r="E55" s="8">
        <v>54</v>
      </c>
      <c r="F55" s="8" t="s">
        <v>29</v>
      </c>
      <c r="G55" s="8" t="s">
        <v>31</v>
      </c>
      <c r="H55" s="8" t="s">
        <v>29</v>
      </c>
      <c r="I55" s="60">
        <f>IF(Active_Node="Root",1,
   IF(Active_Node="Left",--Data[[#This Row],[RootLeftMask]],
   IF(Active_Node="Right",1-Data[[#This Row],[RootLeftMask]],1)))</f>
        <v>1</v>
      </c>
      <c r="J55"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55"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55" s="60">
        <f>--(NOT(Data[[#This Row],[InLeft]]))</f>
        <v>1</v>
      </c>
      <c r="M55" s="60" t="str">
        <f>IF(Data[[#This Row],[InLeft]]=1, Left_Majority, Right_Majority)</f>
        <v>No</v>
      </c>
      <c r="N55"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56" spans="1:14" x14ac:dyDescent="0.3">
      <c r="A56" s="61">
        <v>42</v>
      </c>
      <c r="B56" s="77">
        <v>500000</v>
      </c>
      <c r="C56" s="8">
        <v>10</v>
      </c>
      <c r="D56" s="8">
        <v>27</v>
      </c>
      <c r="E56" s="8">
        <v>-4</v>
      </c>
      <c r="F56" s="8" t="s">
        <v>29</v>
      </c>
      <c r="G56" s="8" t="s">
        <v>34</v>
      </c>
      <c r="H56" s="8" t="s">
        <v>32</v>
      </c>
      <c r="I56" s="61">
        <f>IF(Active_Node="Root",1,
   IF(Active_Node="Left",--Data[[#This Row],[RootLeftMask]],
   IF(Active_Node="Right",1-Data[[#This Row],[RootLeftMask]],1)))</f>
        <v>1</v>
      </c>
      <c r="J56"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56"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56" s="61">
        <f>--(NOT(Data[[#This Row],[InLeft]]))</f>
        <v>1</v>
      </c>
      <c r="M56" s="61" t="str">
        <f>IF(Data[[#This Row],[InLeft]]=1, Left_Majority, Right_Majority)</f>
        <v>No</v>
      </c>
      <c r="N56"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Yes</v>
      </c>
    </row>
    <row r="57" spans="1:14" x14ac:dyDescent="0.3">
      <c r="A57" s="60">
        <v>43</v>
      </c>
      <c r="B57" s="77">
        <v>1100000</v>
      </c>
      <c r="C57" s="8">
        <v>22</v>
      </c>
      <c r="D57" s="8">
        <v>20</v>
      </c>
      <c r="E57" s="8">
        <v>11</v>
      </c>
      <c r="F57" s="8" t="s">
        <v>32</v>
      </c>
      <c r="G57" s="8" t="s">
        <v>33</v>
      </c>
      <c r="H57" s="8" t="s">
        <v>29</v>
      </c>
      <c r="I57" s="60">
        <f>IF(Active_Node="Root",1,
   IF(Active_Node="Left",--Data[[#This Row],[RootLeftMask]],
   IF(Active_Node="Right",1-Data[[#This Row],[RootLeftMask]],1)))</f>
        <v>1</v>
      </c>
      <c r="J57"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1</v>
      </c>
      <c r="K57"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1</v>
      </c>
      <c r="L57" s="60">
        <f>--(NOT(Data[[#This Row],[InLeft]]))</f>
        <v>0</v>
      </c>
      <c r="M57" s="60" t="str">
        <f>IF(Data[[#This Row],[InLeft]]=1, Left_Majority, Right_Majority)</f>
        <v>Yes</v>
      </c>
      <c r="N57"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58" spans="1:14" x14ac:dyDescent="0.3">
      <c r="A58" s="61">
        <v>44</v>
      </c>
      <c r="B58" s="77">
        <v>1100000</v>
      </c>
      <c r="C58" s="8">
        <v>13</v>
      </c>
      <c r="D58" s="8">
        <v>30</v>
      </c>
      <c r="E58" s="8">
        <v>86</v>
      </c>
      <c r="F58" s="8" t="s">
        <v>29</v>
      </c>
      <c r="G58" s="8" t="s">
        <v>31</v>
      </c>
      <c r="H58" s="8" t="s">
        <v>29</v>
      </c>
      <c r="I58" s="61">
        <f>IF(Active_Node="Root",1,
   IF(Active_Node="Left",--Data[[#This Row],[RootLeftMask]],
   IF(Active_Node="Right",1-Data[[#This Row],[RootLeftMask]],1)))</f>
        <v>1</v>
      </c>
      <c r="J58"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58"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58" s="61">
        <f>--(NOT(Data[[#This Row],[InLeft]]))</f>
        <v>1</v>
      </c>
      <c r="M58" s="61" t="str">
        <f>IF(Data[[#This Row],[InLeft]]=1, Left_Majority, Right_Majority)</f>
        <v>No</v>
      </c>
      <c r="N58"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59" spans="1:14" x14ac:dyDescent="0.3">
      <c r="A59" s="60">
        <v>45</v>
      </c>
      <c r="B59" s="77">
        <v>1600000</v>
      </c>
      <c r="C59" s="8">
        <v>13</v>
      </c>
      <c r="D59" s="8">
        <v>12</v>
      </c>
      <c r="E59" s="8">
        <v>5</v>
      </c>
      <c r="F59" s="8" t="s">
        <v>32</v>
      </c>
      <c r="G59" s="8" t="s">
        <v>34</v>
      </c>
      <c r="H59" s="8" t="s">
        <v>32</v>
      </c>
      <c r="I59" s="60">
        <f>IF(Active_Node="Root",1,
   IF(Active_Node="Left",--Data[[#This Row],[RootLeftMask]],
   IF(Active_Node="Right",1-Data[[#This Row],[RootLeftMask]],1)))</f>
        <v>1</v>
      </c>
      <c r="J59"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1</v>
      </c>
      <c r="K59"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1</v>
      </c>
      <c r="L59" s="60">
        <f>--(NOT(Data[[#This Row],[InLeft]]))</f>
        <v>0</v>
      </c>
      <c r="M59" s="60" t="str">
        <f>IF(Data[[#This Row],[InLeft]]=1, Left_Majority, Right_Majority)</f>
        <v>Yes</v>
      </c>
      <c r="N59"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Yes</v>
      </c>
    </row>
    <row r="60" spans="1:14" x14ac:dyDescent="0.3">
      <c r="A60" s="61">
        <v>46</v>
      </c>
      <c r="B60" s="77">
        <v>2200000</v>
      </c>
      <c r="C60" s="8">
        <v>6</v>
      </c>
      <c r="D60" s="8">
        <v>14</v>
      </c>
      <c r="E60" s="8">
        <v>92</v>
      </c>
      <c r="F60" s="8" t="s">
        <v>29</v>
      </c>
      <c r="G60" s="8" t="s">
        <v>33</v>
      </c>
      <c r="H60" s="8" t="s">
        <v>32</v>
      </c>
      <c r="I60" s="61">
        <f>IF(Active_Node="Root",1,
   IF(Active_Node="Left",--Data[[#This Row],[RootLeftMask]],
   IF(Active_Node="Right",1-Data[[#This Row],[RootLeftMask]],1)))</f>
        <v>1</v>
      </c>
      <c r="J60"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60"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60" s="61">
        <f>--(NOT(Data[[#This Row],[InLeft]]))</f>
        <v>1</v>
      </c>
      <c r="M60" s="61" t="str">
        <f>IF(Data[[#This Row],[InLeft]]=1, Left_Majority, Right_Majority)</f>
        <v>No</v>
      </c>
      <c r="N60"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61" spans="1:14" x14ac:dyDescent="0.3">
      <c r="A61" s="60">
        <v>47</v>
      </c>
      <c r="B61" s="77">
        <v>600000</v>
      </c>
      <c r="C61" s="8">
        <v>24</v>
      </c>
      <c r="D61" s="8">
        <v>21</v>
      </c>
      <c r="E61" s="8">
        <v>21</v>
      </c>
      <c r="F61" s="8" t="s">
        <v>32</v>
      </c>
      <c r="G61" s="8" t="s">
        <v>34</v>
      </c>
      <c r="H61" s="8" t="s">
        <v>29</v>
      </c>
      <c r="I61" s="60">
        <f>IF(Active_Node="Root",1,
   IF(Active_Node="Left",--Data[[#This Row],[RootLeftMask]],
   IF(Active_Node="Right",1-Data[[#This Row],[RootLeftMask]],1)))</f>
        <v>1</v>
      </c>
      <c r="J61"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1</v>
      </c>
      <c r="K61"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1</v>
      </c>
      <c r="L61" s="60">
        <f>--(NOT(Data[[#This Row],[InLeft]]))</f>
        <v>0</v>
      </c>
      <c r="M61" s="60" t="str">
        <f>IF(Data[[#This Row],[InLeft]]=1, Left_Majority, Right_Majority)</f>
        <v>Yes</v>
      </c>
      <c r="N61"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62" spans="1:14" x14ac:dyDescent="0.3">
      <c r="A62" s="61">
        <v>48</v>
      </c>
      <c r="B62" s="77">
        <v>1100000</v>
      </c>
      <c r="C62" s="8">
        <v>8</v>
      </c>
      <c r="D62" s="8">
        <v>19</v>
      </c>
      <c r="E62" s="8">
        <v>17</v>
      </c>
      <c r="F62" s="8" t="s">
        <v>32</v>
      </c>
      <c r="G62" s="8" t="s">
        <v>30</v>
      </c>
      <c r="H62" s="8" t="s">
        <v>32</v>
      </c>
      <c r="I62" s="61">
        <f>IF(Active_Node="Root",1,
   IF(Active_Node="Left",--Data[[#This Row],[RootLeftMask]],
   IF(Active_Node="Right",1-Data[[#This Row],[RootLeftMask]],1)))</f>
        <v>1</v>
      </c>
      <c r="J62"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1</v>
      </c>
      <c r="K62"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1</v>
      </c>
      <c r="L62" s="61">
        <f>--(NOT(Data[[#This Row],[InLeft]]))</f>
        <v>0</v>
      </c>
      <c r="M62" s="61" t="str">
        <f>IF(Data[[#This Row],[InLeft]]=1, Left_Majority, Right_Majority)</f>
        <v>Yes</v>
      </c>
      <c r="N62"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Yes</v>
      </c>
    </row>
    <row r="63" spans="1:14" x14ac:dyDescent="0.3">
      <c r="A63" s="60">
        <v>49</v>
      </c>
      <c r="B63" s="77">
        <v>2900000</v>
      </c>
      <c r="C63" s="8">
        <v>6</v>
      </c>
      <c r="D63" s="8">
        <v>20</v>
      </c>
      <c r="E63" s="8">
        <v>110</v>
      </c>
      <c r="F63" s="8" t="s">
        <v>32</v>
      </c>
      <c r="G63" s="8" t="s">
        <v>34</v>
      </c>
      <c r="H63" s="8" t="s">
        <v>32</v>
      </c>
      <c r="I63" s="60">
        <f>IF(Active_Node="Root",1,
   IF(Active_Node="Left",--Data[[#This Row],[RootLeftMask]],
   IF(Active_Node="Right",1-Data[[#This Row],[RootLeftMask]],1)))</f>
        <v>1</v>
      </c>
      <c r="J63"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1</v>
      </c>
      <c r="K63"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1</v>
      </c>
      <c r="L63" s="60">
        <f>--(NOT(Data[[#This Row],[InLeft]]))</f>
        <v>0</v>
      </c>
      <c r="M63" s="60" t="str">
        <f>IF(Data[[#This Row],[InLeft]]=1, Left_Majority, Right_Majority)</f>
        <v>Yes</v>
      </c>
      <c r="N63"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Yes</v>
      </c>
    </row>
    <row r="64" spans="1:14" x14ac:dyDescent="0.3">
      <c r="A64" s="61">
        <v>50</v>
      </c>
      <c r="B64" s="77">
        <v>2100000</v>
      </c>
      <c r="C64" s="8">
        <v>20</v>
      </c>
      <c r="D64" s="8">
        <v>30</v>
      </c>
      <c r="E64" s="8">
        <v>74</v>
      </c>
      <c r="F64" s="8" t="s">
        <v>29</v>
      </c>
      <c r="G64" s="8" t="s">
        <v>31</v>
      </c>
      <c r="H64" s="8" t="s">
        <v>32</v>
      </c>
      <c r="I64" s="61">
        <f>IF(Active_Node="Root",1,
   IF(Active_Node="Left",--Data[[#This Row],[RootLeftMask]],
   IF(Active_Node="Right",1-Data[[#This Row],[RootLeftMask]],1)))</f>
        <v>1</v>
      </c>
      <c r="J64"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64"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64" s="61">
        <f>--(NOT(Data[[#This Row],[InLeft]]))</f>
        <v>1</v>
      </c>
      <c r="M64" s="61" t="str">
        <f>IF(Data[[#This Row],[InLeft]]=1, Left_Majority, Right_Majority)</f>
        <v>No</v>
      </c>
      <c r="N64"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65" spans="1:14" x14ac:dyDescent="0.3">
      <c r="A65" s="60">
        <v>51</v>
      </c>
      <c r="B65" s="77">
        <v>1000000</v>
      </c>
      <c r="C65" s="8">
        <v>17</v>
      </c>
      <c r="D65" s="8">
        <v>9</v>
      </c>
      <c r="E65" s="8">
        <v>8</v>
      </c>
      <c r="F65" s="8" t="s">
        <v>29</v>
      </c>
      <c r="G65" s="8" t="s">
        <v>31</v>
      </c>
      <c r="H65" s="8" t="s">
        <v>29</v>
      </c>
      <c r="I65" s="60">
        <f>IF(Active_Node="Root",1,
   IF(Active_Node="Left",--Data[[#This Row],[RootLeftMask]],
   IF(Active_Node="Right",1-Data[[#This Row],[RootLeftMask]],1)))</f>
        <v>1</v>
      </c>
      <c r="J65"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65"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65" s="60">
        <f>--(NOT(Data[[#This Row],[InLeft]]))</f>
        <v>1</v>
      </c>
      <c r="M65" s="60" t="str">
        <f>IF(Data[[#This Row],[InLeft]]=1, Left_Majority, Right_Majority)</f>
        <v>No</v>
      </c>
      <c r="N65"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66" spans="1:14" x14ac:dyDescent="0.3">
      <c r="A66" s="61">
        <v>52</v>
      </c>
      <c r="B66" s="77">
        <v>600000</v>
      </c>
      <c r="C66" s="8">
        <v>18</v>
      </c>
      <c r="D66" s="8">
        <v>23</v>
      </c>
      <c r="E66" s="8">
        <v>56</v>
      </c>
      <c r="F66" s="8" t="s">
        <v>29</v>
      </c>
      <c r="G66" s="8" t="s">
        <v>34</v>
      </c>
      <c r="H66" s="8" t="s">
        <v>32</v>
      </c>
      <c r="I66" s="61">
        <f>IF(Active_Node="Root",1,
   IF(Active_Node="Left",--Data[[#This Row],[RootLeftMask]],
   IF(Active_Node="Right",1-Data[[#This Row],[RootLeftMask]],1)))</f>
        <v>1</v>
      </c>
      <c r="J66"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66"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66" s="61">
        <f>--(NOT(Data[[#This Row],[InLeft]]))</f>
        <v>1</v>
      </c>
      <c r="M66" s="61" t="str">
        <f>IF(Data[[#This Row],[InLeft]]=1, Left_Majority, Right_Majority)</f>
        <v>No</v>
      </c>
      <c r="N66"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Yes</v>
      </c>
    </row>
    <row r="67" spans="1:14" x14ac:dyDescent="0.3">
      <c r="A67" s="60">
        <v>53</v>
      </c>
      <c r="B67" s="77">
        <v>2200000</v>
      </c>
      <c r="C67" s="8">
        <v>22</v>
      </c>
      <c r="D67" s="8">
        <v>5</v>
      </c>
      <c r="E67" s="8">
        <v>73</v>
      </c>
      <c r="F67" s="8" t="s">
        <v>32</v>
      </c>
      <c r="G67" s="8" t="s">
        <v>31</v>
      </c>
      <c r="H67" s="8" t="s">
        <v>29</v>
      </c>
      <c r="I67" s="60">
        <f>IF(Active_Node="Root",1,
   IF(Active_Node="Left",--Data[[#This Row],[RootLeftMask]],
   IF(Active_Node="Right",1-Data[[#This Row],[RootLeftMask]],1)))</f>
        <v>1</v>
      </c>
      <c r="J67"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1</v>
      </c>
      <c r="K67"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1</v>
      </c>
      <c r="L67" s="60">
        <f>--(NOT(Data[[#This Row],[InLeft]]))</f>
        <v>0</v>
      </c>
      <c r="M67" s="60" t="str">
        <f>IF(Data[[#This Row],[InLeft]]=1, Left_Majority, Right_Majority)</f>
        <v>Yes</v>
      </c>
      <c r="N67"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68" spans="1:14" x14ac:dyDescent="0.3">
      <c r="A68" s="61">
        <v>54</v>
      </c>
      <c r="B68" s="77">
        <v>2100000</v>
      </c>
      <c r="C68" s="8">
        <v>22</v>
      </c>
      <c r="D68" s="8">
        <v>14</v>
      </c>
      <c r="E68" s="8">
        <v>26</v>
      </c>
      <c r="F68" s="8" t="s">
        <v>29</v>
      </c>
      <c r="G68" s="8" t="s">
        <v>30</v>
      </c>
      <c r="H68" s="8" t="s">
        <v>29</v>
      </c>
      <c r="I68" s="61">
        <f>IF(Active_Node="Root",1,
   IF(Active_Node="Left",--Data[[#This Row],[RootLeftMask]],
   IF(Active_Node="Right",1-Data[[#This Row],[RootLeftMask]],1)))</f>
        <v>1</v>
      </c>
      <c r="J68"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68"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68" s="61">
        <f>--(NOT(Data[[#This Row],[InLeft]]))</f>
        <v>1</v>
      </c>
      <c r="M68" s="61" t="str">
        <f>IF(Data[[#This Row],[InLeft]]=1, Left_Majority, Right_Majority)</f>
        <v>No</v>
      </c>
      <c r="N68"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69" spans="1:14" x14ac:dyDescent="0.3">
      <c r="A69" s="60">
        <v>55</v>
      </c>
      <c r="B69" s="77">
        <v>2900000</v>
      </c>
      <c r="C69" s="8">
        <v>6</v>
      </c>
      <c r="D69" s="8">
        <v>22</v>
      </c>
      <c r="E69" s="8">
        <v>109</v>
      </c>
      <c r="F69" s="8" t="s">
        <v>29</v>
      </c>
      <c r="G69" s="8" t="s">
        <v>33</v>
      </c>
      <c r="H69" s="8" t="s">
        <v>29</v>
      </c>
      <c r="I69" s="60">
        <f>IF(Active_Node="Root",1,
   IF(Active_Node="Left",--Data[[#This Row],[RootLeftMask]],
   IF(Active_Node="Right",1-Data[[#This Row],[RootLeftMask]],1)))</f>
        <v>1</v>
      </c>
      <c r="J69"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69"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69" s="60">
        <f>--(NOT(Data[[#This Row],[InLeft]]))</f>
        <v>1</v>
      </c>
      <c r="M69" s="60" t="str">
        <f>IF(Data[[#This Row],[InLeft]]=1, Left_Majority, Right_Majority)</f>
        <v>No</v>
      </c>
      <c r="N69"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70" spans="1:14" x14ac:dyDescent="0.3">
      <c r="A70" s="61">
        <v>56</v>
      </c>
      <c r="B70" s="77">
        <v>1800000</v>
      </c>
      <c r="C70" s="8">
        <v>9</v>
      </c>
      <c r="D70" s="8">
        <v>10</v>
      </c>
      <c r="E70" s="8">
        <v>46</v>
      </c>
      <c r="F70" s="8" t="s">
        <v>29</v>
      </c>
      <c r="G70" s="8" t="s">
        <v>34</v>
      </c>
      <c r="H70" s="8" t="s">
        <v>29</v>
      </c>
      <c r="I70" s="61">
        <f>IF(Active_Node="Root",1,
   IF(Active_Node="Left",--Data[[#This Row],[RootLeftMask]],
   IF(Active_Node="Right",1-Data[[#This Row],[RootLeftMask]],1)))</f>
        <v>1</v>
      </c>
      <c r="J70"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70"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70" s="61">
        <f>--(NOT(Data[[#This Row],[InLeft]]))</f>
        <v>1</v>
      </c>
      <c r="M70" s="61" t="str">
        <f>IF(Data[[#This Row],[InLeft]]=1, Left_Majority, Right_Majority)</f>
        <v>No</v>
      </c>
      <c r="N70"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71" spans="1:14" x14ac:dyDescent="0.3">
      <c r="A71" s="60">
        <v>57</v>
      </c>
      <c r="B71" s="77">
        <v>2400000</v>
      </c>
      <c r="C71" s="8">
        <v>18</v>
      </c>
      <c r="D71" s="8">
        <v>11</v>
      </c>
      <c r="E71" s="8">
        <v>8</v>
      </c>
      <c r="F71" s="8" t="s">
        <v>29</v>
      </c>
      <c r="G71" s="8" t="s">
        <v>33</v>
      </c>
      <c r="H71" s="8" t="s">
        <v>29</v>
      </c>
      <c r="I71" s="60">
        <f>IF(Active_Node="Root",1,
   IF(Active_Node="Left",--Data[[#This Row],[RootLeftMask]],
   IF(Active_Node="Right",1-Data[[#This Row],[RootLeftMask]],1)))</f>
        <v>1</v>
      </c>
      <c r="J71"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71"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71" s="60">
        <f>--(NOT(Data[[#This Row],[InLeft]]))</f>
        <v>1</v>
      </c>
      <c r="M71" s="60" t="str">
        <f>IF(Data[[#This Row],[InLeft]]=1, Left_Majority, Right_Majority)</f>
        <v>No</v>
      </c>
      <c r="N71"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72" spans="1:14" x14ac:dyDescent="0.3">
      <c r="A72" s="61">
        <v>58</v>
      </c>
      <c r="B72" s="77">
        <v>600000</v>
      </c>
      <c r="C72" s="8">
        <v>16</v>
      </c>
      <c r="D72" s="8">
        <v>12</v>
      </c>
      <c r="E72" s="8">
        <v>94</v>
      </c>
      <c r="F72" s="8" t="s">
        <v>29</v>
      </c>
      <c r="G72" s="8" t="s">
        <v>30</v>
      </c>
      <c r="H72" s="8" t="s">
        <v>32</v>
      </c>
      <c r="I72" s="61">
        <f>IF(Active_Node="Root",1,
   IF(Active_Node="Left",--Data[[#This Row],[RootLeftMask]],
   IF(Active_Node="Right",1-Data[[#This Row],[RootLeftMask]],1)))</f>
        <v>1</v>
      </c>
      <c r="J72"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72"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72" s="61">
        <f>--(NOT(Data[[#This Row],[InLeft]]))</f>
        <v>1</v>
      </c>
      <c r="M72" s="61" t="str">
        <f>IF(Data[[#This Row],[InLeft]]=1, Left_Majority, Right_Majority)</f>
        <v>No</v>
      </c>
      <c r="N72"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Yes</v>
      </c>
    </row>
    <row r="73" spans="1:14" x14ac:dyDescent="0.3">
      <c r="A73" s="60">
        <v>59</v>
      </c>
      <c r="B73" s="77">
        <v>2100000</v>
      </c>
      <c r="C73" s="8">
        <v>15</v>
      </c>
      <c r="D73" s="8">
        <v>12</v>
      </c>
      <c r="E73" s="8">
        <v>72</v>
      </c>
      <c r="F73" s="8" t="s">
        <v>32</v>
      </c>
      <c r="G73" s="8" t="s">
        <v>33</v>
      </c>
      <c r="H73" s="8" t="s">
        <v>29</v>
      </c>
      <c r="I73" s="60">
        <f>IF(Active_Node="Root",1,
   IF(Active_Node="Left",--Data[[#This Row],[RootLeftMask]],
   IF(Active_Node="Right",1-Data[[#This Row],[RootLeftMask]],1)))</f>
        <v>1</v>
      </c>
      <c r="J73"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1</v>
      </c>
      <c r="K73"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1</v>
      </c>
      <c r="L73" s="60">
        <f>--(NOT(Data[[#This Row],[InLeft]]))</f>
        <v>0</v>
      </c>
      <c r="M73" s="60" t="str">
        <f>IF(Data[[#This Row],[InLeft]]=1, Left_Majority, Right_Majority)</f>
        <v>Yes</v>
      </c>
      <c r="N73"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74" spans="1:14" x14ac:dyDescent="0.3">
      <c r="A74" s="61">
        <v>60</v>
      </c>
      <c r="B74" s="77">
        <v>2500000</v>
      </c>
      <c r="C74" s="8">
        <v>6</v>
      </c>
      <c r="D74" s="8">
        <v>28</v>
      </c>
      <c r="E74" s="8">
        <v>41</v>
      </c>
      <c r="F74" s="8" t="s">
        <v>29</v>
      </c>
      <c r="G74" s="8" t="s">
        <v>31</v>
      </c>
      <c r="H74" s="8" t="s">
        <v>32</v>
      </c>
      <c r="I74" s="61">
        <f>IF(Active_Node="Root",1,
   IF(Active_Node="Left",--Data[[#This Row],[RootLeftMask]],
   IF(Active_Node="Right",1-Data[[#This Row],[RootLeftMask]],1)))</f>
        <v>1</v>
      </c>
      <c r="J74"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74"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74" s="61">
        <f>--(NOT(Data[[#This Row],[InLeft]]))</f>
        <v>1</v>
      </c>
      <c r="M74" s="61" t="str">
        <f>IF(Data[[#This Row],[InLeft]]=1, Left_Majority, Right_Majority)</f>
        <v>No</v>
      </c>
      <c r="N74"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75" spans="1:14" x14ac:dyDescent="0.3">
      <c r="A75" s="60">
        <v>61</v>
      </c>
      <c r="B75" s="77">
        <v>800000</v>
      </c>
      <c r="C75" s="8">
        <v>16</v>
      </c>
      <c r="D75" s="8">
        <v>23</v>
      </c>
      <c r="E75" s="8">
        <v>26</v>
      </c>
      <c r="F75" s="8" t="s">
        <v>29</v>
      </c>
      <c r="G75" s="8" t="s">
        <v>33</v>
      </c>
      <c r="H75" s="8" t="s">
        <v>32</v>
      </c>
      <c r="I75" s="60">
        <f>IF(Active_Node="Root",1,
   IF(Active_Node="Left",--Data[[#This Row],[RootLeftMask]],
   IF(Active_Node="Right",1-Data[[#This Row],[RootLeftMask]],1)))</f>
        <v>1</v>
      </c>
      <c r="J75"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75"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75" s="60">
        <f>--(NOT(Data[[#This Row],[InLeft]]))</f>
        <v>1</v>
      </c>
      <c r="M75" s="60" t="str">
        <f>IF(Data[[#This Row],[InLeft]]=1, Left_Majority, Right_Majority)</f>
        <v>No</v>
      </c>
      <c r="N75"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76" spans="1:14" x14ac:dyDescent="0.3">
      <c r="A76" s="61">
        <v>62</v>
      </c>
      <c r="B76" s="77">
        <v>700000</v>
      </c>
      <c r="C76" s="8">
        <v>11</v>
      </c>
      <c r="D76" s="8">
        <v>11</v>
      </c>
      <c r="E76" s="8">
        <v>87</v>
      </c>
      <c r="F76" s="8" t="s">
        <v>29</v>
      </c>
      <c r="G76" s="8" t="s">
        <v>31</v>
      </c>
      <c r="H76" s="8" t="s">
        <v>32</v>
      </c>
      <c r="I76" s="61">
        <f>IF(Active_Node="Root",1,
   IF(Active_Node="Left",--Data[[#This Row],[RootLeftMask]],
   IF(Active_Node="Right",1-Data[[#This Row],[RootLeftMask]],1)))</f>
        <v>1</v>
      </c>
      <c r="J76"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76"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76" s="61">
        <f>--(NOT(Data[[#This Row],[InLeft]]))</f>
        <v>1</v>
      </c>
      <c r="M76" s="61" t="str">
        <f>IF(Data[[#This Row],[InLeft]]=1, Left_Majority, Right_Majority)</f>
        <v>No</v>
      </c>
      <c r="N76"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Yes</v>
      </c>
    </row>
    <row r="77" spans="1:14" x14ac:dyDescent="0.3">
      <c r="A77" s="60">
        <v>63</v>
      </c>
      <c r="B77" s="77">
        <v>900000</v>
      </c>
      <c r="C77" s="8">
        <v>24</v>
      </c>
      <c r="D77" s="8">
        <v>27</v>
      </c>
      <c r="E77" s="8">
        <v>112</v>
      </c>
      <c r="F77" s="8" t="s">
        <v>29</v>
      </c>
      <c r="G77" s="8" t="s">
        <v>31</v>
      </c>
      <c r="H77" s="8" t="s">
        <v>32</v>
      </c>
      <c r="I77" s="60">
        <f>IF(Active_Node="Root",1,
   IF(Active_Node="Left",--Data[[#This Row],[RootLeftMask]],
   IF(Active_Node="Right",1-Data[[#This Row],[RootLeftMask]],1)))</f>
        <v>1</v>
      </c>
      <c r="J77"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77"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77" s="60">
        <f>--(NOT(Data[[#This Row],[InLeft]]))</f>
        <v>1</v>
      </c>
      <c r="M77" s="60" t="str">
        <f>IF(Data[[#This Row],[InLeft]]=1, Left_Majority, Right_Majority)</f>
        <v>No</v>
      </c>
      <c r="N77"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78" spans="1:14" x14ac:dyDescent="0.3">
      <c r="A78" s="61">
        <v>64</v>
      </c>
      <c r="B78" s="77">
        <v>1400000</v>
      </c>
      <c r="C78" s="8">
        <v>9</v>
      </c>
      <c r="D78" s="8">
        <v>30</v>
      </c>
      <c r="E78" s="8">
        <v>-6</v>
      </c>
      <c r="F78" s="8" t="s">
        <v>29</v>
      </c>
      <c r="G78" s="8" t="s">
        <v>33</v>
      </c>
      <c r="H78" s="8" t="s">
        <v>29</v>
      </c>
      <c r="I78" s="61">
        <f>IF(Active_Node="Root",1,
   IF(Active_Node="Left",--Data[[#This Row],[RootLeftMask]],
   IF(Active_Node="Right",1-Data[[#This Row],[RootLeftMask]],1)))</f>
        <v>1</v>
      </c>
      <c r="J78"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78"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78" s="61">
        <f>--(NOT(Data[[#This Row],[InLeft]]))</f>
        <v>1</v>
      </c>
      <c r="M78" s="61" t="str">
        <f>IF(Data[[#This Row],[InLeft]]=1, Left_Majority, Right_Majority)</f>
        <v>No</v>
      </c>
      <c r="N78"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79" spans="1:14" x14ac:dyDescent="0.3">
      <c r="A79" s="60">
        <v>65</v>
      </c>
      <c r="B79" s="77">
        <v>2500000</v>
      </c>
      <c r="C79" s="8">
        <v>9</v>
      </c>
      <c r="D79" s="8">
        <v>15</v>
      </c>
      <c r="E79" s="8">
        <v>103</v>
      </c>
      <c r="F79" s="8" t="s">
        <v>29</v>
      </c>
      <c r="G79" s="8" t="s">
        <v>33</v>
      </c>
      <c r="H79" s="8" t="s">
        <v>29</v>
      </c>
      <c r="I79" s="60">
        <f>IF(Active_Node="Root",1,
   IF(Active_Node="Left",--Data[[#This Row],[RootLeftMask]],
   IF(Active_Node="Right",1-Data[[#This Row],[RootLeftMask]],1)))</f>
        <v>1</v>
      </c>
      <c r="J79"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79"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79" s="60">
        <f>--(NOT(Data[[#This Row],[InLeft]]))</f>
        <v>1</v>
      </c>
      <c r="M79" s="60" t="str">
        <f>IF(Data[[#This Row],[InLeft]]=1, Left_Majority, Right_Majority)</f>
        <v>No</v>
      </c>
      <c r="N79"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80" spans="1:14" x14ac:dyDescent="0.3">
      <c r="A80" s="61">
        <v>66</v>
      </c>
      <c r="B80" s="77">
        <v>1600000</v>
      </c>
      <c r="C80" s="8">
        <v>8</v>
      </c>
      <c r="D80" s="8">
        <v>12</v>
      </c>
      <c r="E80" s="8">
        <v>-4</v>
      </c>
      <c r="F80" s="8" t="s">
        <v>29</v>
      </c>
      <c r="G80" s="8" t="s">
        <v>33</v>
      </c>
      <c r="H80" s="8" t="s">
        <v>29</v>
      </c>
      <c r="I80" s="61">
        <f>IF(Active_Node="Root",1,
   IF(Active_Node="Left",--Data[[#This Row],[RootLeftMask]],
   IF(Active_Node="Right",1-Data[[#This Row],[RootLeftMask]],1)))</f>
        <v>1</v>
      </c>
      <c r="J80"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80"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80" s="61">
        <f>--(NOT(Data[[#This Row],[InLeft]]))</f>
        <v>1</v>
      </c>
      <c r="M80" s="61" t="str">
        <f>IF(Data[[#This Row],[InLeft]]=1, Left_Majority, Right_Majority)</f>
        <v>No</v>
      </c>
      <c r="N80"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81" spans="1:14" x14ac:dyDescent="0.3">
      <c r="A81" s="60">
        <v>67</v>
      </c>
      <c r="B81" s="77">
        <v>1900000</v>
      </c>
      <c r="C81" s="8">
        <v>6</v>
      </c>
      <c r="D81" s="8">
        <v>24</v>
      </c>
      <c r="E81" s="8">
        <v>88</v>
      </c>
      <c r="F81" s="8" t="s">
        <v>29</v>
      </c>
      <c r="G81" s="8" t="s">
        <v>31</v>
      </c>
      <c r="H81" s="8" t="s">
        <v>29</v>
      </c>
      <c r="I81" s="60">
        <f>IF(Active_Node="Root",1,
   IF(Active_Node="Left",--Data[[#This Row],[RootLeftMask]],
   IF(Active_Node="Right",1-Data[[#This Row],[RootLeftMask]],1)))</f>
        <v>1</v>
      </c>
      <c r="J81"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81"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81" s="60">
        <f>--(NOT(Data[[#This Row],[InLeft]]))</f>
        <v>1</v>
      </c>
      <c r="M81" s="60" t="str">
        <f>IF(Data[[#This Row],[InLeft]]=1, Left_Majority, Right_Majority)</f>
        <v>No</v>
      </c>
      <c r="N81"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82" spans="1:14" x14ac:dyDescent="0.3">
      <c r="A82" s="61">
        <v>68</v>
      </c>
      <c r="B82" s="77">
        <v>900000</v>
      </c>
      <c r="C82" s="8">
        <v>21</v>
      </c>
      <c r="D82" s="8">
        <v>3</v>
      </c>
      <c r="E82" s="8">
        <v>102</v>
      </c>
      <c r="F82" s="8" t="s">
        <v>32</v>
      </c>
      <c r="G82" s="8" t="s">
        <v>31</v>
      </c>
      <c r="H82" s="8" t="s">
        <v>32</v>
      </c>
      <c r="I82" s="61">
        <f>IF(Active_Node="Root",1,
   IF(Active_Node="Left",--Data[[#This Row],[RootLeftMask]],
   IF(Active_Node="Right",1-Data[[#This Row],[RootLeftMask]],1)))</f>
        <v>1</v>
      </c>
      <c r="J82"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1</v>
      </c>
      <c r="K82"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1</v>
      </c>
      <c r="L82" s="61">
        <f>--(NOT(Data[[#This Row],[InLeft]]))</f>
        <v>0</v>
      </c>
      <c r="M82" s="61" t="str">
        <f>IF(Data[[#This Row],[InLeft]]=1, Left_Majority, Right_Majority)</f>
        <v>Yes</v>
      </c>
      <c r="N82"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83" spans="1:14" x14ac:dyDescent="0.3">
      <c r="A83" s="60">
        <v>69</v>
      </c>
      <c r="B83" s="77">
        <v>2300000</v>
      </c>
      <c r="C83" s="8">
        <v>21</v>
      </c>
      <c r="D83" s="8">
        <v>18</v>
      </c>
      <c r="E83" s="8">
        <v>118</v>
      </c>
      <c r="F83" s="8" t="s">
        <v>29</v>
      </c>
      <c r="G83" s="8" t="s">
        <v>33</v>
      </c>
      <c r="H83" s="8" t="s">
        <v>32</v>
      </c>
      <c r="I83" s="60">
        <f>IF(Active_Node="Root",1,
   IF(Active_Node="Left",--Data[[#This Row],[RootLeftMask]],
   IF(Active_Node="Right",1-Data[[#This Row],[RootLeftMask]],1)))</f>
        <v>1</v>
      </c>
      <c r="J83"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83"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83" s="60">
        <f>--(NOT(Data[[#This Row],[InLeft]]))</f>
        <v>1</v>
      </c>
      <c r="M83" s="60" t="str">
        <f>IF(Data[[#This Row],[InLeft]]=1, Left_Majority, Right_Majority)</f>
        <v>No</v>
      </c>
      <c r="N83"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84" spans="1:14" x14ac:dyDescent="0.3">
      <c r="A84" s="61">
        <v>70</v>
      </c>
      <c r="B84" s="77">
        <v>1600000</v>
      </c>
      <c r="C84" s="8">
        <v>7</v>
      </c>
      <c r="D84" s="8">
        <v>18</v>
      </c>
      <c r="E84" s="8">
        <v>35</v>
      </c>
      <c r="F84" s="8" t="s">
        <v>29</v>
      </c>
      <c r="G84" s="8" t="s">
        <v>30</v>
      </c>
      <c r="H84" s="8" t="s">
        <v>32</v>
      </c>
      <c r="I84" s="61">
        <f>IF(Active_Node="Root",1,
   IF(Active_Node="Left",--Data[[#This Row],[RootLeftMask]],
   IF(Active_Node="Right",1-Data[[#This Row],[RootLeftMask]],1)))</f>
        <v>1</v>
      </c>
      <c r="J84"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84"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84" s="61">
        <f>--(NOT(Data[[#This Row],[InLeft]]))</f>
        <v>1</v>
      </c>
      <c r="M84" s="61" t="str">
        <f>IF(Data[[#This Row],[InLeft]]=1, Left_Majority, Right_Majority)</f>
        <v>No</v>
      </c>
      <c r="N84"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85" spans="1:14" x14ac:dyDescent="0.3">
      <c r="A85" s="60">
        <v>71</v>
      </c>
      <c r="B85" s="77">
        <v>2600000</v>
      </c>
      <c r="C85" s="8">
        <v>9</v>
      </c>
      <c r="D85" s="8">
        <v>19</v>
      </c>
      <c r="E85" s="8">
        <v>84</v>
      </c>
      <c r="F85" s="8" t="s">
        <v>32</v>
      </c>
      <c r="G85" s="8" t="s">
        <v>30</v>
      </c>
      <c r="H85" s="8" t="s">
        <v>29</v>
      </c>
      <c r="I85" s="60">
        <f>IF(Active_Node="Root",1,
   IF(Active_Node="Left",--Data[[#This Row],[RootLeftMask]],
   IF(Active_Node="Right",1-Data[[#This Row],[RootLeftMask]],1)))</f>
        <v>1</v>
      </c>
      <c r="J85"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1</v>
      </c>
      <c r="K85"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1</v>
      </c>
      <c r="L85" s="60">
        <f>--(NOT(Data[[#This Row],[InLeft]]))</f>
        <v>0</v>
      </c>
      <c r="M85" s="60" t="str">
        <f>IF(Data[[#This Row],[InLeft]]=1, Left_Majority, Right_Majority)</f>
        <v>Yes</v>
      </c>
      <c r="N85"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Yes</v>
      </c>
    </row>
    <row r="86" spans="1:14" x14ac:dyDescent="0.3">
      <c r="A86" s="61">
        <v>72</v>
      </c>
      <c r="B86" s="77">
        <v>800000</v>
      </c>
      <c r="C86" s="8">
        <v>11</v>
      </c>
      <c r="D86" s="8">
        <v>12</v>
      </c>
      <c r="E86" s="8">
        <v>95</v>
      </c>
      <c r="F86" s="8" t="s">
        <v>32</v>
      </c>
      <c r="G86" s="8" t="s">
        <v>30</v>
      </c>
      <c r="H86" s="8" t="s">
        <v>32</v>
      </c>
      <c r="I86" s="61">
        <f>IF(Active_Node="Root",1,
   IF(Active_Node="Left",--Data[[#This Row],[RootLeftMask]],
   IF(Active_Node="Right",1-Data[[#This Row],[RootLeftMask]],1)))</f>
        <v>1</v>
      </c>
      <c r="J86"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1</v>
      </c>
      <c r="K86"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1</v>
      </c>
      <c r="L86" s="61">
        <f>--(NOT(Data[[#This Row],[InLeft]]))</f>
        <v>0</v>
      </c>
      <c r="M86" s="61" t="str">
        <f>IF(Data[[#This Row],[InLeft]]=1, Left_Majority, Right_Majority)</f>
        <v>Yes</v>
      </c>
      <c r="N86"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Yes</v>
      </c>
    </row>
    <row r="87" spans="1:14" x14ac:dyDescent="0.3">
      <c r="A87" s="60">
        <v>73</v>
      </c>
      <c r="B87" s="77">
        <v>2200000</v>
      </c>
      <c r="C87" s="8">
        <v>19</v>
      </c>
      <c r="D87" s="8">
        <v>19</v>
      </c>
      <c r="E87" s="8">
        <v>51</v>
      </c>
      <c r="F87" s="8" t="s">
        <v>29</v>
      </c>
      <c r="G87" s="8" t="s">
        <v>31</v>
      </c>
      <c r="H87" s="8" t="s">
        <v>29</v>
      </c>
      <c r="I87" s="60">
        <f>IF(Active_Node="Root",1,
   IF(Active_Node="Left",--Data[[#This Row],[RootLeftMask]],
   IF(Active_Node="Right",1-Data[[#This Row],[RootLeftMask]],1)))</f>
        <v>1</v>
      </c>
      <c r="J87"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87"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87" s="60">
        <f>--(NOT(Data[[#This Row],[InLeft]]))</f>
        <v>1</v>
      </c>
      <c r="M87" s="60" t="str">
        <f>IF(Data[[#This Row],[InLeft]]=1, Left_Majority, Right_Majority)</f>
        <v>No</v>
      </c>
      <c r="N87"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88" spans="1:14" x14ac:dyDescent="0.3">
      <c r="A88" s="61">
        <v>74</v>
      </c>
      <c r="B88" s="77">
        <v>3000000</v>
      </c>
      <c r="C88" s="8">
        <v>8</v>
      </c>
      <c r="D88" s="8">
        <v>10</v>
      </c>
      <c r="E88" s="8">
        <v>-9</v>
      </c>
      <c r="F88" s="8" t="s">
        <v>29</v>
      </c>
      <c r="G88" s="8" t="s">
        <v>30</v>
      </c>
      <c r="H88" s="8" t="s">
        <v>29</v>
      </c>
      <c r="I88" s="61">
        <f>IF(Active_Node="Root",1,
   IF(Active_Node="Left",--Data[[#This Row],[RootLeftMask]],
   IF(Active_Node="Right",1-Data[[#This Row],[RootLeftMask]],1)))</f>
        <v>1</v>
      </c>
      <c r="J88"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88"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88" s="61">
        <f>--(NOT(Data[[#This Row],[InLeft]]))</f>
        <v>1</v>
      </c>
      <c r="M88" s="61" t="str">
        <f>IF(Data[[#This Row],[InLeft]]=1, Left_Majority, Right_Majority)</f>
        <v>No</v>
      </c>
      <c r="N88"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89" spans="1:14" x14ac:dyDescent="0.3">
      <c r="A89" s="60">
        <v>75</v>
      </c>
      <c r="B89" s="77">
        <v>1900000</v>
      </c>
      <c r="C89" s="8">
        <v>8</v>
      </c>
      <c r="D89" s="8">
        <v>28</v>
      </c>
      <c r="E89" s="8">
        <v>11</v>
      </c>
      <c r="F89" s="8" t="s">
        <v>32</v>
      </c>
      <c r="G89" s="8" t="s">
        <v>31</v>
      </c>
      <c r="H89" s="8" t="s">
        <v>32</v>
      </c>
      <c r="I89" s="60">
        <f>IF(Active_Node="Root",1,
   IF(Active_Node="Left",--Data[[#This Row],[RootLeftMask]],
   IF(Active_Node="Right",1-Data[[#This Row],[RootLeftMask]],1)))</f>
        <v>1</v>
      </c>
      <c r="J89"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1</v>
      </c>
      <c r="K89"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1</v>
      </c>
      <c r="L89" s="60">
        <f>--(NOT(Data[[#This Row],[InLeft]]))</f>
        <v>0</v>
      </c>
      <c r="M89" s="60" t="str">
        <f>IF(Data[[#This Row],[InLeft]]=1, Left_Majority, Right_Majority)</f>
        <v>Yes</v>
      </c>
      <c r="N89"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Yes</v>
      </c>
    </row>
    <row r="90" spans="1:14" x14ac:dyDescent="0.3">
      <c r="A90" s="61">
        <v>76</v>
      </c>
      <c r="B90" s="77">
        <v>1000000</v>
      </c>
      <c r="C90" s="8">
        <v>8</v>
      </c>
      <c r="D90" s="8">
        <v>10</v>
      </c>
      <c r="E90" s="8">
        <v>118</v>
      </c>
      <c r="F90" s="8" t="s">
        <v>29</v>
      </c>
      <c r="G90" s="8" t="s">
        <v>31</v>
      </c>
      <c r="H90" s="8" t="s">
        <v>29</v>
      </c>
      <c r="I90" s="61">
        <f>IF(Active_Node="Root",1,
   IF(Active_Node="Left",--Data[[#This Row],[RootLeftMask]],
   IF(Active_Node="Right",1-Data[[#This Row],[RootLeftMask]],1)))</f>
        <v>1</v>
      </c>
      <c r="J90"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90"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90" s="61">
        <f>--(NOT(Data[[#This Row],[InLeft]]))</f>
        <v>1</v>
      </c>
      <c r="M90" s="61" t="str">
        <f>IF(Data[[#This Row],[InLeft]]=1, Left_Majority, Right_Majority)</f>
        <v>No</v>
      </c>
      <c r="N90"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91" spans="1:14" x14ac:dyDescent="0.3">
      <c r="A91" s="60">
        <v>77</v>
      </c>
      <c r="B91" s="77">
        <v>100000</v>
      </c>
      <c r="C91" s="8">
        <v>10</v>
      </c>
      <c r="D91" s="8">
        <v>4</v>
      </c>
      <c r="E91" s="8">
        <v>34</v>
      </c>
      <c r="F91" s="8" t="s">
        <v>29</v>
      </c>
      <c r="G91" s="8" t="s">
        <v>30</v>
      </c>
      <c r="H91" s="8" t="s">
        <v>29</v>
      </c>
      <c r="I91" s="60">
        <f>IF(Active_Node="Root",1,
   IF(Active_Node="Left",--Data[[#This Row],[RootLeftMask]],
   IF(Active_Node="Right",1-Data[[#This Row],[RootLeftMask]],1)))</f>
        <v>1</v>
      </c>
      <c r="J91"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91"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91" s="60">
        <f>--(NOT(Data[[#This Row],[InLeft]]))</f>
        <v>1</v>
      </c>
      <c r="M91" s="60" t="str">
        <f>IF(Data[[#This Row],[InLeft]]=1, Left_Majority, Right_Majority)</f>
        <v>No</v>
      </c>
      <c r="N91"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Yes</v>
      </c>
    </row>
    <row r="92" spans="1:14" x14ac:dyDescent="0.3">
      <c r="A92" s="61">
        <v>78</v>
      </c>
      <c r="B92" s="77">
        <v>300000</v>
      </c>
      <c r="C92" s="8">
        <v>6</v>
      </c>
      <c r="D92" s="8">
        <v>6</v>
      </c>
      <c r="E92" s="8">
        <v>118</v>
      </c>
      <c r="F92" s="8" t="s">
        <v>29</v>
      </c>
      <c r="G92" s="8" t="s">
        <v>33</v>
      </c>
      <c r="H92" s="8" t="s">
        <v>32</v>
      </c>
      <c r="I92" s="61">
        <f>IF(Active_Node="Root",1,
   IF(Active_Node="Left",--Data[[#This Row],[RootLeftMask]],
   IF(Active_Node="Right",1-Data[[#This Row],[RootLeftMask]],1)))</f>
        <v>1</v>
      </c>
      <c r="J92"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92"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92" s="61">
        <f>--(NOT(Data[[#This Row],[InLeft]]))</f>
        <v>1</v>
      </c>
      <c r="M92" s="61" t="str">
        <f>IF(Data[[#This Row],[InLeft]]=1, Left_Majority, Right_Majority)</f>
        <v>No</v>
      </c>
      <c r="N92"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Yes</v>
      </c>
    </row>
    <row r="93" spans="1:14" x14ac:dyDescent="0.3">
      <c r="A93" s="60">
        <v>79</v>
      </c>
      <c r="B93" s="77">
        <v>3000000</v>
      </c>
      <c r="C93" s="8">
        <v>16</v>
      </c>
      <c r="D93" s="8">
        <v>14</v>
      </c>
      <c r="E93" s="8">
        <v>82</v>
      </c>
      <c r="F93" s="8" t="s">
        <v>29</v>
      </c>
      <c r="G93" s="8" t="s">
        <v>33</v>
      </c>
      <c r="H93" s="8" t="s">
        <v>29</v>
      </c>
      <c r="I93" s="60">
        <f>IF(Active_Node="Root",1,
   IF(Active_Node="Left",--Data[[#This Row],[RootLeftMask]],
   IF(Active_Node="Right",1-Data[[#This Row],[RootLeftMask]],1)))</f>
        <v>1</v>
      </c>
      <c r="J93"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93"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93" s="60">
        <f>--(NOT(Data[[#This Row],[InLeft]]))</f>
        <v>1</v>
      </c>
      <c r="M93" s="60" t="str">
        <f>IF(Data[[#This Row],[InLeft]]=1, Left_Majority, Right_Majority)</f>
        <v>No</v>
      </c>
      <c r="N93"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94" spans="1:14" x14ac:dyDescent="0.3">
      <c r="A94" s="61">
        <v>80</v>
      </c>
      <c r="B94" s="77">
        <v>500000</v>
      </c>
      <c r="C94" s="8">
        <v>10</v>
      </c>
      <c r="D94" s="8">
        <v>15</v>
      </c>
      <c r="E94" s="8">
        <v>105</v>
      </c>
      <c r="F94" s="8" t="s">
        <v>29</v>
      </c>
      <c r="G94" s="8" t="s">
        <v>33</v>
      </c>
      <c r="H94" s="8" t="s">
        <v>29</v>
      </c>
      <c r="I94" s="61">
        <f>IF(Active_Node="Root",1,
   IF(Active_Node="Left",--Data[[#This Row],[RootLeftMask]],
   IF(Active_Node="Right",1-Data[[#This Row],[RootLeftMask]],1)))</f>
        <v>1</v>
      </c>
      <c r="J94"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94"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94" s="61">
        <f>--(NOT(Data[[#This Row],[InLeft]]))</f>
        <v>1</v>
      </c>
      <c r="M94" s="61" t="str">
        <f>IF(Data[[#This Row],[InLeft]]=1, Left_Majority, Right_Majority)</f>
        <v>No</v>
      </c>
      <c r="N94"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Yes</v>
      </c>
    </row>
    <row r="95" spans="1:14" x14ac:dyDescent="0.3">
      <c r="A95" s="60">
        <v>81</v>
      </c>
      <c r="B95" s="77">
        <v>100000</v>
      </c>
      <c r="C95" s="8">
        <v>13</v>
      </c>
      <c r="D95" s="8">
        <v>17</v>
      </c>
      <c r="E95" s="8">
        <v>-3</v>
      </c>
      <c r="F95" s="8" t="s">
        <v>32</v>
      </c>
      <c r="G95" s="8" t="s">
        <v>30</v>
      </c>
      <c r="H95" s="8" t="s">
        <v>32</v>
      </c>
      <c r="I95" s="60">
        <f>IF(Active_Node="Root",1,
   IF(Active_Node="Left",--Data[[#This Row],[RootLeftMask]],
   IF(Active_Node="Right",1-Data[[#This Row],[RootLeftMask]],1)))</f>
        <v>1</v>
      </c>
      <c r="J95"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1</v>
      </c>
      <c r="K95"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1</v>
      </c>
      <c r="L95" s="60">
        <f>--(NOT(Data[[#This Row],[InLeft]]))</f>
        <v>0</v>
      </c>
      <c r="M95" s="60" t="str">
        <f>IF(Data[[#This Row],[InLeft]]=1, Left_Majority, Right_Majority)</f>
        <v>Yes</v>
      </c>
      <c r="N95"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Yes</v>
      </c>
    </row>
    <row r="96" spans="1:14" x14ac:dyDescent="0.3">
      <c r="A96" s="61">
        <v>82</v>
      </c>
      <c r="B96" s="77">
        <v>2800000</v>
      </c>
      <c r="C96" s="8">
        <v>6</v>
      </c>
      <c r="D96" s="8">
        <v>4</v>
      </c>
      <c r="E96" s="8">
        <v>-9</v>
      </c>
      <c r="F96" s="8" t="s">
        <v>32</v>
      </c>
      <c r="G96" s="8" t="s">
        <v>34</v>
      </c>
      <c r="H96" s="8" t="s">
        <v>32</v>
      </c>
      <c r="I96" s="61">
        <f>IF(Active_Node="Root",1,
   IF(Active_Node="Left",--Data[[#This Row],[RootLeftMask]],
   IF(Active_Node="Right",1-Data[[#This Row],[RootLeftMask]],1)))</f>
        <v>1</v>
      </c>
      <c r="J96"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1</v>
      </c>
      <c r="K96"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1</v>
      </c>
      <c r="L96" s="61">
        <f>--(NOT(Data[[#This Row],[InLeft]]))</f>
        <v>0</v>
      </c>
      <c r="M96" s="61" t="str">
        <f>IF(Data[[#This Row],[InLeft]]=1, Left_Majority, Right_Majority)</f>
        <v>Yes</v>
      </c>
      <c r="N96"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Yes</v>
      </c>
    </row>
    <row r="97" spans="1:14" x14ac:dyDescent="0.3">
      <c r="A97" s="60">
        <v>83</v>
      </c>
      <c r="B97" s="77">
        <v>300000</v>
      </c>
      <c r="C97" s="8">
        <v>19</v>
      </c>
      <c r="D97" s="8">
        <v>6</v>
      </c>
      <c r="E97" s="8">
        <v>77</v>
      </c>
      <c r="F97" s="8" t="s">
        <v>29</v>
      </c>
      <c r="G97" s="8" t="s">
        <v>34</v>
      </c>
      <c r="H97" s="8" t="s">
        <v>32</v>
      </c>
      <c r="I97" s="60">
        <f>IF(Active_Node="Root",1,
   IF(Active_Node="Left",--Data[[#This Row],[RootLeftMask]],
   IF(Active_Node="Right",1-Data[[#This Row],[RootLeftMask]],1)))</f>
        <v>1</v>
      </c>
      <c r="J97"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97"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97" s="60">
        <f>--(NOT(Data[[#This Row],[InLeft]]))</f>
        <v>1</v>
      </c>
      <c r="M97" s="60" t="str">
        <f>IF(Data[[#This Row],[InLeft]]=1, Left_Majority, Right_Majority)</f>
        <v>No</v>
      </c>
      <c r="N97"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Yes</v>
      </c>
    </row>
    <row r="98" spans="1:14" x14ac:dyDescent="0.3">
      <c r="A98" s="61">
        <v>84</v>
      </c>
      <c r="B98" s="77">
        <v>1700000</v>
      </c>
      <c r="C98" s="8">
        <v>10</v>
      </c>
      <c r="D98" s="8">
        <v>24</v>
      </c>
      <c r="E98" s="8">
        <v>49</v>
      </c>
      <c r="F98" s="8" t="s">
        <v>29</v>
      </c>
      <c r="G98" s="8" t="s">
        <v>30</v>
      </c>
      <c r="H98" s="8" t="s">
        <v>32</v>
      </c>
      <c r="I98" s="61">
        <f>IF(Active_Node="Root",1,
   IF(Active_Node="Left",--Data[[#This Row],[RootLeftMask]],
   IF(Active_Node="Right",1-Data[[#This Row],[RootLeftMask]],1)))</f>
        <v>1</v>
      </c>
      <c r="J98"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98"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98" s="61">
        <f>--(NOT(Data[[#This Row],[InLeft]]))</f>
        <v>1</v>
      </c>
      <c r="M98" s="61" t="str">
        <f>IF(Data[[#This Row],[InLeft]]=1, Left_Majority, Right_Majority)</f>
        <v>No</v>
      </c>
      <c r="N98"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99" spans="1:14" x14ac:dyDescent="0.3">
      <c r="A99" s="60">
        <v>85</v>
      </c>
      <c r="B99" s="77">
        <v>1800000</v>
      </c>
      <c r="C99" s="8">
        <v>7</v>
      </c>
      <c r="D99" s="8">
        <v>6</v>
      </c>
      <c r="E99" s="8">
        <v>-1</v>
      </c>
      <c r="F99" s="8" t="s">
        <v>29</v>
      </c>
      <c r="G99" s="8" t="s">
        <v>34</v>
      </c>
      <c r="H99" s="8" t="s">
        <v>29</v>
      </c>
      <c r="I99" s="60">
        <f>IF(Active_Node="Root",1,
   IF(Active_Node="Left",--Data[[#This Row],[RootLeftMask]],
   IF(Active_Node="Right",1-Data[[#This Row],[RootLeftMask]],1)))</f>
        <v>1</v>
      </c>
      <c r="J99"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99"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99" s="60">
        <f>--(NOT(Data[[#This Row],[InLeft]]))</f>
        <v>1</v>
      </c>
      <c r="M99" s="60" t="str">
        <f>IF(Data[[#This Row],[InLeft]]=1, Left_Majority, Right_Majority)</f>
        <v>No</v>
      </c>
      <c r="N99"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100" spans="1:14" x14ac:dyDescent="0.3">
      <c r="A100" s="61">
        <v>86</v>
      </c>
      <c r="B100" s="77">
        <v>1600000</v>
      </c>
      <c r="C100" s="8">
        <v>9</v>
      </c>
      <c r="D100" s="8">
        <v>23</v>
      </c>
      <c r="E100" s="8">
        <v>14</v>
      </c>
      <c r="F100" s="8" t="s">
        <v>29</v>
      </c>
      <c r="G100" s="8" t="s">
        <v>31</v>
      </c>
      <c r="H100" s="8" t="s">
        <v>32</v>
      </c>
      <c r="I100" s="61">
        <f>IF(Active_Node="Root",1,
   IF(Active_Node="Left",--Data[[#This Row],[RootLeftMask]],
   IF(Active_Node="Right",1-Data[[#This Row],[RootLeftMask]],1)))</f>
        <v>1</v>
      </c>
      <c r="J100"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100"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100" s="61">
        <f>--(NOT(Data[[#This Row],[InLeft]]))</f>
        <v>1</v>
      </c>
      <c r="M100" s="61" t="str">
        <f>IF(Data[[#This Row],[InLeft]]=1, Left_Majority, Right_Majority)</f>
        <v>No</v>
      </c>
      <c r="N100"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101" spans="1:14" x14ac:dyDescent="0.3">
      <c r="A101" s="60">
        <v>87</v>
      </c>
      <c r="B101" s="77">
        <v>2300000</v>
      </c>
      <c r="C101" s="8">
        <v>7</v>
      </c>
      <c r="D101" s="8">
        <v>14</v>
      </c>
      <c r="E101" s="8">
        <v>56</v>
      </c>
      <c r="F101" s="8" t="s">
        <v>29</v>
      </c>
      <c r="G101" s="8" t="s">
        <v>30</v>
      </c>
      <c r="H101" s="8" t="s">
        <v>29</v>
      </c>
      <c r="I101" s="60">
        <f>IF(Active_Node="Root",1,
   IF(Active_Node="Left",--Data[[#This Row],[RootLeftMask]],
   IF(Active_Node="Right",1-Data[[#This Row],[RootLeftMask]],1)))</f>
        <v>1</v>
      </c>
      <c r="J101"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101"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101" s="60">
        <f>--(NOT(Data[[#This Row],[InLeft]]))</f>
        <v>1</v>
      </c>
      <c r="M101" s="60" t="str">
        <f>IF(Data[[#This Row],[InLeft]]=1, Left_Majority, Right_Majority)</f>
        <v>No</v>
      </c>
      <c r="N101"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102" spans="1:14" x14ac:dyDescent="0.3">
      <c r="A102" s="61">
        <v>88</v>
      </c>
      <c r="B102" s="77">
        <v>2300000</v>
      </c>
      <c r="C102" s="8">
        <v>10</v>
      </c>
      <c r="D102" s="8">
        <v>5</v>
      </c>
      <c r="E102" s="8">
        <v>35</v>
      </c>
      <c r="F102" s="8" t="s">
        <v>29</v>
      </c>
      <c r="G102" s="8" t="s">
        <v>33</v>
      </c>
      <c r="H102" s="8" t="s">
        <v>29</v>
      </c>
      <c r="I102" s="61">
        <f>IF(Active_Node="Root",1,
   IF(Active_Node="Left",--Data[[#This Row],[RootLeftMask]],
   IF(Active_Node="Right",1-Data[[#This Row],[RootLeftMask]],1)))</f>
        <v>1</v>
      </c>
      <c r="J102"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102"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102" s="61">
        <f>--(NOT(Data[[#This Row],[InLeft]]))</f>
        <v>1</v>
      </c>
      <c r="M102" s="61" t="str">
        <f>IF(Data[[#This Row],[InLeft]]=1, Left_Majority, Right_Majority)</f>
        <v>No</v>
      </c>
      <c r="N102"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103" spans="1:14" x14ac:dyDescent="0.3">
      <c r="A103" s="60">
        <v>89</v>
      </c>
      <c r="B103" s="77">
        <v>500000</v>
      </c>
      <c r="C103" s="8">
        <v>13</v>
      </c>
      <c r="D103" s="8">
        <v>23</v>
      </c>
      <c r="E103" s="8">
        <v>64</v>
      </c>
      <c r="F103" s="8" t="s">
        <v>29</v>
      </c>
      <c r="G103" s="8" t="s">
        <v>33</v>
      </c>
      <c r="H103" s="8" t="s">
        <v>32</v>
      </c>
      <c r="I103" s="60">
        <f>IF(Active_Node="Root",1,
   IF(Active_Node="Left",--Data[[#This Row],[RootLeftMask]],
   IF(Active_Node="Right",1-Data[[#This Row],[RootLeftMask]],1)))</f>
        <v>1</v>
      </c>
      <c r="J103"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103"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103" s="60">
        <f>--(NOT(Data[[#This Row],[InLeft]]))</f>
        <v>1</v>
      </c>
      <c r="M103" s="60" t="str">
        <f>IF(Data[[#This Row],[InLeft]]=1, Left_Majority, Right_Majority)</f>
        <v>No</v>
      </c>
      <c r="N103"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Yes</v>
      </c>
    </row>
    <row r="104" spans="1:14" x14ac:dyDescent="0.3">
      <c r="A104" s="61">
        <v>90</v>
      </c>
      <c r="B104" s="77">
        <v>2900000</v>
      </c>
      <c r="C104" s="8">
        <v>8</v>
      </c>
      <c r="D104" s="8">
        <v>17</v>
      </c>
      <c r="E104" s="8">
        <v>92</v>
      </c>
      <c r="F104" s="8" t="s">
        <v>29</v>
      </c>
      <c r="G104" s="8" t="s">
        <v>30</v>
      </c>
      <c r="H104" s="8" t="s">
        <v>29</v>
      </c>
      <c r="I104" s="61">
        <f>IF(Active_Node="Root",1,
   IF(Active_Node="Left",--Data[[#This Row],[RootLeftMask]],
   IF(Active_Node="Right",1-Data[[#This Row],[RootLeftMask]],1)))</f>
        <v>1</v>
      </c>
      <c r="J104"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104"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104" s="61">
        <f>--(NOT(Data[[#This Row],[InLeft]]))</f>
        <v>1</v>
      </c>
      <c r="M104" s="61" t="str">
        <f>IF(Data[[#This Row],[InLeft]]=1, Left_Majority, Right_Majority)</f>
        <v>No</v>
      </c>
      <c r="N104"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105" spans="1:14" x14ac:dyDescent="0.3">
      <c r="A105" s="60">
        <v>91</v>
      </c>
      <c r="B105" s="77">
        <v>2900000</v>
      </c>
      <c r="C105" s="8">
        <v>16</v>
      </c>
      <c r="D105" s="8">
        <v>21</v>
      </c>
      <c r="E105" s="8">
        <v>45</v>
      </c>
      <c r="F105" s="8" t="s">
        <v>32</v>
      </c>
      <c r="G105" s="8" t="s">
        <v>31</v>
      </c>
      <c r="H105" s="8" t="s">
        <v>29</v>
      </c>
      <c r="I105" s="60">
        <f>IF(Active_Node="Root",1,
   IF(Active_Node="Left",--Data[[#This Row],[RootLeftMask]],
   IF(Active_Node="Right",1-Data[[#This Row],[RootLeftMask]],1)))</f>
        <v>1</v>
      </c>
      <c r="J105"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1</v>
      </c>
      <c r="K105"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1</v>
      </c>
      <c r="L105" s="60">
        <f>--(NOT(Data[[#This Row],[InLeft]]))</f>
        <v>0</v>
      </c>
      <c r="M105" s="60" t="str">
        <f>IF(Data[[#This Row],[InLeft]]=1, Left_Majority, Right_Majority)</f>
        <v>Yes</v>
      </c>
      <c r="N105"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106" spans="1:14" x14ac:dyDescent="0.3">
      <c r="A106" s="61">
        <v>92</v>
      </c>
      <c r="B106" s="77">
        <v>2400000</v>
      </c>
      <c r="C106" s="8">
        <v>9</v>
      </c>
      <c r="D106" s="8">
        <v>23</v>
      </c>
      <c r="E106" s="8">
        <v>88</v>
      </c>
      <c r="F106" s="8" t="s">
        <v>29</v>
      </c>
      <c r="G106" s="8" t="s">
        <v>30</v>
      </c>
      <c r="H106" s="8" t="s">
        <v>29</v>
      </c>
      <c r="I106" s="61">
        <f>IF(Active_Node="Root",1,
   IF(Active_Node="Left",--Data[[#This Row],[RootLeftMask]],
   IF(Active_Node="Right",1-Data[[#This Row],[RootLeftMask]],1)))</f>
        <v>1</v>
      </c>
      <c r="J106"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106"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106" s="61">
        <f>--(NOT(Data[[#This Row],[InLeft]]))</f>
        <v>1</v>
      </c>
      <c r="M106" s="61" t="str">
        <f>IF(Data[[#This Row],[InLeft]]=1, Left_Majority, Right_Majority)</f>
        <v>No</v>
      </c>
      <c r="N106"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107" spans="1:14" x14ac:dyDescent="0.3">
      <c r="A107" s="60">
        <v>93</v>
      </c>
      <c r="B107" s="77">
        <v>2000000</v>
      </c>
      <c r="C107" s="8">
        <v>6</v>
      </c>
      <c r="D107" s="8">
        <v>17</v>
      </c>
      <c r="E107" s="8">
        <v>-10</v>
      </c>
      <c r="F107" s="8" t="s">
        <v>32</v>
      </c>
      <c r="G107" s="8" t="s">
        <v>30</v>
      </c>
      <c r="H107" s="8" t="s">
        <v>32</v>
      </c>
      <c r="I107" s="60">
        <f>IF(Active_Node="Root",1,
   IF(Active_Node="Left",--Data[[#This Row],[RootLeftMask]],
   IF(Active_Node="Right",1-Data[[#This Row],[RootLeftMask]],1)))</f>
        <v>1</v>
      </c>
      <c r="J107"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1</v>
      </c>
      <c r="K107"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1</v>
      </c>
      <c r="L107" s="60">
        <f>--(NOT(Data[[#This Row],[InLeft]]))</f>
        <v>0</v>
      </c>
      <c r="M107" s="60" t="str">
        <f>IF(Data[[#This Row],[InLeft]]=1, Left_Majority, Right_Majority)</f>
        <v>Yes</v>
      </c>
      <c r="N107"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Yes</v>
      </c>
    </row>
    <row r="108" spans="1:14" x14ac:dyDescent="0.3">
      <c r="A108" s="61">
        <v>94</v>
      </c>
      <c r="B108" s="77">
        <v>700000</v>
      </c>
      <c r="C108" s="8">
        <v>13</v>
      </c>
      <c r="D108" s="8">
        <v>4</v>
      </c>
      <c r="E108" s="8">
        <v>119</v>
      </c>
      <c r="F108" s="8" t="s">
        <v>32</v>
      </c>
      <c r="G108" s="8" t="s">
        <v>30</v>
      </c>
      <c r="H108" s="8" t="s">
        <v>29</v>
      </c>
      <c r="I108" s="61">
        <f>IF(Active_Node="Root",1,
   IF(Active_Node="Left",--Data[[#This Row],[RootLeftMask]],
   IF(Active_Node="Right",1-Data[[#This Row],[RootLeftMask]],1)))</f>
        <v>1</v>
      </c>
      <c r="J108"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1</v>
      </c>
      <c r="K108"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1</v>
      </c>
      <c r="L108" s="61">
        <f>--(NOT(Data[[#This Row],[InLeft]]))</f>
        <v>0</v>
      </c>
      <c r="M108" s="61" t="str">
        <f>IF(Data[[#This Row],[InLeft]]=1, Left_Majority, Right_Majority)</f>
        <v>Yes</v>
      </c>
      <c r="N108"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Yes</v>
      </c>
    </row>
    <row r="109" spans="1:14" x14ac:dyDescent="0.3">
      <c r="A109" s="60">
        <v>95</v>
      </c>
      <c r="B109" s="77">
        <v>1200000</v>
      </c>
      <c r="C109" s="8">
        <v>16</v>
      </c>
      <c r="D109" s="8">
        <v>6</v>
      </c>
      <c r="E109" s="8">
        <v>29</v>
      </c>
      <c r="F109" s="8" t="s">
        <v>29</v>
      </c>
      <c r="G109" s="8" t="s">
        <v>31</v>
      </c>
      <c r="H109" s="8" t="s">
        <v>29</v>
      </c>
      <c r="I109" s="60">
        <f>IF(Active_Node="Root",1,
   IF(Active_Node="Left",--Data[[#This Row],[RootLeftMask]],
   IF(Active_Node="Right",1-Data[[#This Row],[RootLeftMask]],1)))</f>
        <v>1</v>
      </c>
      <c r="J109"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109"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109" s="60">
        <f>--(NOT(Data[[#This Row],[InLeft]]))</f>
        <v>1</v>
      </c>
      <c r="M109" s="60" t="str">
        <f>IF(Data[[#This Row],[InLeft]]=1, Left_Majority, Right_Majority)</f>
        <v>No</v>
      </c>
      <c r="N109"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110" spans="1:14" x14ac:dyDescent="0.3">
      <c r="A110" s="61">
        <v>96</v>
      </c>
      <c r="B110" s="77">
        <v>400000</v>
      </c>
      <c r="C110" s="8">
        <v>16</v>
      </c>
      <c r="D110" s="8">
        <v>6</v>
      </c>
      <c r="E110" s="8">
        <v>-6</v>
      </c>
      <c r="F110" s="8" t="s">
        <v>29</v>
      </c>
      <c r="G110" s="8" t="s">
        <v>31</v>
      </c>
      <c r="H110" s="8" t="s">
        <v>32</v>
      </c>
      <c r="I110" s="61">
        <f>IF(Active_Node="Root",1,
   IF(Active_Node="Left",--Data[[#This Row],[RootLeftMask]],
   IF(Active_Node="Right",1-Data[[#This Row],[RootLeftMask]],1)))</f>
        <v>1</v>
      </c>
      <c r="J110"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110"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110" s="61">
        <f>--(NOT(Data[[#This Row],[InLeft]]))</f>
        <v>1</v>
      </c>
      <c r="M110" s="61" t="str">
        <f>IF(Data[[#This Row],[InLeft]]=1, Left_Majority, Right_Majority)</f>
        <v>No</v>
      </c>
      <c r="N110"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Yes</v>
      </c>
    </row>
    <row r="111" spans="1:14" x14ac:dyDescent="0.3">
      <c r="A111" s="60">
        <v>97</v>
      </c>
      <c r="B111" s="77">
        <v>2800000</v>
      </c>
      <c r="C111" s="8">
        <v>18</v>
      </c>
      <c r="D111" s="8">
        <v>18</v>
      </c>
      <c r="E111" s="8">
        <v>19</v>
      </c>
      <c r="F111" s="8" t="s">
        <v>29</v>
      </c>
      <c r="G111" s="8" t="s">
        <v>33</v>
      </c>
      <c r="H111" s="8" t="s">
        <v>29</v>
      </c>
      <c r="I111" s="60">
        <f>IF(Active_Node="Root",1,
   IF(Active_Node="Left",--Data[[#This Row],[RootLeftMask]],
   IF(Active_Node="Right",1-Data[[#This Row],[RootLeftMask]],1)))</f>
        <v>1</v>
      </c>
      <c r="J111"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111"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111" s="60">
        <f>--(NOT(Data[[#This Row],[InLeft]]))</f>
        <v>1</v>
      </c>
      <c r="M111" s="60" t="str">
        <f>IF(Data[[#This Row],[InLeft]]=1, Left_Majority, Right_Majority)</f>
        <v>No</v>
      </c>
      <c r="N111"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112" spans="1:14" x14ac:dyDescent="0.3">
      <c r="A112" s="61">
        <v>98</v>
      </c>
      <c r="B112" s="77">
        <v>500000</v>
      </c>
      <c r="C112" s="8">
        <v>16</v>
      </c>
      <c r="D112" s="8">
        <v>16</v>
      </c>
      <c r="E112" s="8">
        <v>94</v>
      </c>
      <c r="F112" s="8" t="s">
        <v>32</v>
      </c>
      <c r="G112" s="8" t="s">
        <v>33</v>
      </c>
      <c r="H112" s="8" t="s">
        <v>29</v>
      </c>
      <c r="I112" s="61">
        <f>IF(Active_Node="Root",1,
   IF(Active_Node="Left",--Data[[#This Row],[RootLeftMask]],
   IF(Active_Node="Right",1-Data[[#This Row],[RootLeftMask]],1)))</f>
        <v>1</v>
      </c>
      <c r="J112"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1</v>
      </c>
      <c r="K112"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1</v>
      </c>
      <c r="L112" s="61">
        <f>--(NOT(Data[[#This Row],[InLeft]]))</f>
        <v>0</v>
      </c>
      <c r="M112" s="61" t="str">
        <f>IF(Data[[#This Row],[InLeft]]=1, Left_Majority, Right_Majority)</f>
        <v>Yes</v>
      </c>
      <c r="N112"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113" spans="1:14" x14ac:dyDescent="0.3">
      <c r="A113" s="60">
        <v>99</v>
      </c>
      <c r="B113" s="77">
        <v>2800000</v>
      </c>
      <c r="C113" s="8">
        <v>10</v>
      </c>
      <c r="D113" s="8">
        <v>26</v>
      </c>
      <c r="E113" s="8">
        <v>88</v>
      </c>
      <c r="F113" s="8" t="s">
        <v>32</v>
      </c>
      <c r="G113" s="8" t="s">
        <v>33</v>
      </c>
      <c r="H113" s="8" t="s">
        <v>32</v>
      </c>
      <c r="I113" s="60">
        <f>IF(Active_Node="Root",1,
   IF(Active_Node="Left",--Data[[#This Row],[RootLeftMask]],
   IF(Active_Node="Right",1-Data[[#This Row],[RootLeftMask]],1)))</f>
        <v>1</v>
      </c>
      <c r="J113"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1</v>
      </c>
      <c r="K113"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1</v>
      </c>
      <c r="L113" s="60">
        <f>--(NOT(Data[[#This Row],[InLeft]]))</f>
        <v>0</v>
      </c>
      <c r="M113" s="60" t="str">
        <f>IF(Data[[#This Row],[InLeft]]=1, Left_Majority, Right_Majority)</f>
        <v>Yes</v>
      </c>
      <c r="N113"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Yes</v>
      </c>
    </row>
    <row r="114" spans="1:14" x14ac:dyDescent="0.3">
      <c r="A114" s="71">
        <v>100</v>
      </c>
      <c r="B114" s="77">
        <v>1500000</v>
      </c>
      <c r="C114" s="8">
        <v>12</v>
      </c>
      <c r="D114" s="8">
        <v>9</v>
      </c>
      <c r="E114" s="8">
        <v>75</v>
      </c>
      <c r="F114" s="8" t="s">
        <v>29</v>
      </c>
      <c r="G114" s="8" t="s">
        <v>30</v>
      </c>
      <c r="H114" s="8" t="s">
        <v>29</v>
      </c>
      <c r="I114" s="61">
        <f>IF(Active_Node="Root",1,
   IF(Active_Node="Left",--Data[[#This Row],[RootLeftMask]],
   IF(Active_Node="Right",1-Data[[#This Row],[RootLeftMask]],1)))</f>
        <v>1</v>
      </c>
      <c r="J114"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114"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114" s="61">
        <f>--(NOT(Data[[#This Row],[InLeft]]))</f>
        <v>1</v>
      </c>
      <c r="M114" s="61" t="str">
        <f>IF(Data[[#This Row],[InLeft]]=1, Left_Majority, Right_Majority)</f>
        <v>No</v>
      </c>
      <c r="N114"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115" spans="1:14" x14ac:dyDescent="0.3">
      <c r="A115" s="60">
        <v>101</v>
      </c>
      <c r="B115" s="76">
        <v>100000</v>
      </c>
      <c r="C115" s="8">
        <v>23</v>
      </c>
      <c r="D115" s="8">
        <v>5</v>
      </c>
      <c r="E115" s="8">
        <v>98</v>
      </c>
      <c r="F115" s="8" t="s">
        <v>32</v>
      </c>
      <c r="G115" s="8" t="s">
        <v>30</v>
      </c>
      <c r="H115" s="8" t="s">
        <v>32</v>
      </c>
      <c r="I115" s="60">
        <f>IF(Active_Node="Root",1,
   IF(Active_Node="Left",--Data[[#This Row],[RootLeftMask]],
   IF(Active_Node="Right",1-Data[[#This Row],[RootLeftMask]],1)))</f>
        <v>1</v>
      </c>
      <c r="J115"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1</v>
      </c>
      <c r="K115"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1</v>
      </c>
      <c r="L115" s="60">
        <f>--(NOT(Data[[#This Row],[InLeft]]))</f>
        <v>0</v>
      </c>
      <c r="M115" s="60" t="str">
        <f>IF(Data[[#This Row],[InLeft]]=1, Left_Majority, Right_Majority)</f>
        <v>Yes</v>
      </c>
      <c r="N115"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116" spans="1:14" x14ac:dyDescent="0.3">
      <c r="A116" s="61">
        <v>102</v>
      </c>
      <c r="B116" s="76">
        <v>2900000</v>
      </c>
      <c r="C116" s="8">
        <v>8</v>
      </c>
      <c r="D116" s="8">
        <v>24</v>
      </c>
      <c r="E116" s="8">
        <v>16</v>
      </c>
      <c r="F116" s="8" t="s">
        <v>29</v>
      </c>
      <c r="G116" s="8" t="s">
        <v>33</v>
      </c>
      <c r="H116" s="8" t="s">
        <v>29</v>
      </c>
      <c r="I116" s="61">
        <f>IF(Active_Node="Root",1,
   IF(Active_Node="Left",--Data[[#This Row],[RootLeftMask]],
   IF(Active_Node="Right",1-Data[[#This Row],[RootLeftMask]],1)))</f>
        <v>1</v>
      </c>
      <c r="J116"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116"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116" s="61">
        <f>--(NOT(Data[[#This Row],[InLeft]]))</f>
        <v>1</v>
      </c>
      <c r="M116" s="61" t="str">
        <f>IF(Data[[#This Row],[InLeft]]=1, Left_Majority, Right_Majority)</f>
        <v>No</v>
      </c>
      <c r="N116"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117" spans="1:14" x14ac:dyDescent="0.3">
      <c r="A117" s="60">
        <v>103</v>
      </c>
      <c r="B117" s="76">
        <v>500000</v>
      </c>
      <c r="C117" s="8">
        <v>13</v>
      </c>
      <c r="D117" s="8">
        <v>22</v>
      </c>
      <c r="E117" s="8">
        <v>60</v>
      </c>
      <c r="F117" s="8" t="s">
        <v>29</v>
      </c>
      <c r="G117" s="8" t="s">
        <v>33</v>
      </c>
      <c r="H117" s="8" t="s">
        <v>29</v>
      </c>
      <c r="I117" s="60">
        <f>IF(Active_Node="Root",1,
   IF(Active_Node="Left",--Data[[#This Row],[RootLeftMask]],
   IF(Active_Node="Right",1-Data[[#This Row],[RootLeftMask]],1)))</f>
        <v>1</v>
      </c>
      <c r="J117"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117"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117" s="60">
        <f>--(NOT(Data[[#This Row],[InLeft]]))</f>
        <v>1</v>
      </c>
      <c r="M117" s="60" t="str">
        <f>IF(Data[[#This Row],[InLeft]]=1, Left_Majority, Right_Majority)</f>
        <v>No</v>
      </c>
      <c r="N117"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Yes</v>
      </c>
    </row>
    <row r="118" spans="1:14" x14ac:dyDescent="0.3">
      <c r="A118" s="61">
        <v>104</v>
      </c>
      <c r="B118" s="76">
        <v>2600000</v>
      </c>
      <c r="C118" s="8">
        <v>13</v>
      </c>
      <c r="D118" s="8">
        <v>22</v>
      </c>
      <c r="E118" s="8">
        <v>85</v>
      </c>
      <c r="F118" s="8" t="s">
        <v>32</v>
      </c>
      <c r="G118" s="8" t="s">
        <v>33</v>
      </c>
      <c r="H118" s="8" t="s">
        <v>32</v>
      </c>
      <c r="I118" s="61">
        <f>IF(Active_Node="Root",1,
   IF(Active_Node="Left",--Data[[#This Row],[RootLeftMask]],
   IF(Active_Node="Right",1-Data[[#This Row],[RootLeftMask]],1)))</f>
        <v>1</v>
      </c>
      <c r="J118"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1</v>
      </c>
      <c r="K118"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1</v>
      </c>
      <c r="L118" s="61">
        <f>--(NOT(Data[[#This Row],[InLeft]]))</f>
        <v>0</v>
      </c>
      <c r="M118" s="61" t="str">
        <f>IF(Data[[#This Row],[InLeft]]=1, Left_Majority, Right_Majority)</f>
        <v>Yes</v>
      </c>
      <c r="N118"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Yes</v>
      </c>
    </row>
    <row r="119" spans="1:14" x14ac:dyDescent="0.3">
      <c r="A119" s="60">
        <v>105</v>
      </c>
      <c r="B119" s="76">
        <v>1300000</v>
      </c>
      <c r="C119" s="8">
        <v>17</v>
      </c>
      <c r="D119" s="8">
        <v>18</v>
      </c>
      <c r="E119" s="8">
        <v>110</v>
      </c>
      <c r="F119" s="8" t="s">
        <v>29</v>
      </c>
      <c r="G119" s="8" t="s">
        <v>34</v>
      </c>
      <c r="H119" s="8" t="s">
        <v>29</v>
      </c>
      <c r="I119" s="60">
        <f>IF(Active_Node="Root",1,
   IF(Active_Node="Left",--Data[[#This Row],[RootLeftMask]],
   IF(Active_Node="Right",1-Data[[#This Row],[RootLeftMask]],1)))</f>
        <v>1</v>
      </c>
      <c r="J119"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119"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119" s="60">
        <f>--(NOT(Data[[#This Row],[InLeft]]))</f>
        <v>1</v>
      </c>
      <c r="M119" s="60" t="str">
        <f>IF(Data[[#This Row],[InLeft]]=1, Left_Majority, Right_Majority)</f>
        <v>No</v>
      </c>
      <c r="N119"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120" spans="1:14" x14ac:dyDescent="0.3">
      <c r="A120" s="61">
        <v>106</v>
      </c>
      <c r="B120" s="76">
        <v>2200000</v>
      </c>
      <c r="C120" s="8">
        <v>16</v>
      </c>
      <c r="D120" s="8">
        <v>13</v>
      </c>
      <c r="E120" s="8">
        <v>16</v>
      </c>
      <c r="F120" s="8" t="s">
        <v>32</v>
      </c>
      <c r="G120" s="8" t="s">
        <v>31</v>
      </c>
      <c r="H120" s="8" t="s">
        <v>32</v>
      </c>
      <c r="I120" s="61">
        <f>IF(Active_Node="Root",1,
   IF(Active_Node="Left",--Data[[#This Row],[RootLeftMask]],
   IF(Active_Node="Right",1-Data[[#This Row],[RootLeftMask]],1)))</f>
        <v>1</v>
      </c>
      <c r="J120"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1</v>
      </c>
      <c r="K120"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1</v>
      </c>
      <c r="L120" s="61">
        <f>--(NOT(Data[[#This Row],[InLeft]]))</f>
        <v>0</v>
      </c>
      <c r="M120" s="61" t="str">
        <f>IF(Data[[#This Row],[InLeft]]=1, Left_Majority, Right_Majority)</f>
        <v>Yes</v>
      </c>
      <c r="N120"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121" spans="1:14" x14ac:dyDescent="0.3">
      <c r="A121" s="60">
        <v>107</v>
      </c>
      <c r="B121" s="76">
        <v>1000000</v>
      </c>
      <c r="C121" s="8">
        <v>12</v>
      </c>
      <c r="D121" s="8">
        <v>30</v>
      </c>
      <c r="E121" s="8">
        <v>12</v>
      </c>
      <c r="F121" s="8" t="s">
        <v>29</v>
      </c>
      <c r="G121" s="8" t="s">
        <v>34</v>
      </c>
      <c r="H121" s="8" t="s">
        <v>29</v>
      </c>
      <c r="I121" s="60">
        <f>IF(Active_Node="Root",1,
   IF(Active_Node="Left",--Data[[#This Row],[RootLeftMask]],
   IF(Active_Node="Right",1-Data[[#This Row],[RootLeftMask]],1)))</f>
        <v>1</v>
      </c>
      <c r="J121"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121"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121" s="60">
        <f>--(NOT(Data[[#This Row],[InLeft]]))</f>
        <v>1</v>
      </c>
      <c r="M121" s="60" t="str">
        <f>IF(Data[[#This Row],[InLeft]]=1, Left_Majority, Right_Majority)</f>
        <v>No</v>
      </c>
      <c r="N121"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122" spans="1:14" x14ac:dyDescent="0.3">
      <c r="A122" s="61">
        <v>108</v>
      </c>
      <c r="B122" s="76">
        <v>1900000</v>
      </c>
      <c r="C122" s="8">
        <v>16</v>
      </c>
      <c r="D122" s="8">
        <v>27</v>
      </c>
      <c r="E122" s="8">
        <v>-2</v>
      </c>
      <c r="F122" s="8" t="s">
        <v>29</v>
      </c>
      <c r="G122" s="8" t="s">
        <v>33</v>
      </c>
      <c r="H122" s="8" t="s">
        <v>32</v>
      </c>
      <c r="I122" s="61">
        <f>IF(Active_Node="Root",1,
   IF(Active_Node="Left",--Data[[#This Row],[RootLeftMask]],
   IF(Active_Node="Right",1-Data[[#This Row],[RootLeftMask]],1)))</f>
        <v>1</v>
      </c>
      <c r="J122"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122"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122" s="61">
        <f>--(NOT(Data[[#This Row],[InLeft]]))</f>
        <v>1</v>
      </c>
      <c r="M122" s="61" t="str">
        <f>IF(Data[[#This Row],[InLeft]]=1, Left_Majority, Right_Majority)</f>
        <v>No</v>
      </c>
      <c r="N122"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123" spans="1:14" x14ac:dyDescent="0.3">
      <c r="A123" s="60">
        <v>109</v>
      </c>
      <c r="B123" s="76">
        <v>100000</v>
      </c>
      <c r="C123" s="8">
        <v>12</v>
      </c>
      <c r="D123" s="8">
        <v>9</v>
      </c>
      <c r="E123" s="8">
        <v>60</v>
      </c>
      <c r="F123" s="8" t="s">
        <v>32</v>
      </c>
      <c r="G123" s="8" t="s">
        <v>30</v>
      </c>
      <c r="H123" s="8" t="s">
        <v>32</v>
      </c>
      <c r="I123" s="60">
        <f>IF(Active_Node="Root",1,
   IF(Active_Node="Left",--Data[[#This Row],[RootLeftMask]],
   IF(Active_Node="Right",1-Data[[#This Row],[RootLeftMask]],1)))</f>
        <v>1</v>
      </c>
      <c r="J123"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1</v>
      </c>
      <c r="K123"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1</v>
      </c>
      <c r="L123" s="60">
        <f>--(NOT(Data[[#This Row],[InLeft]]))</f>
        <v>0</v>
      </c>
      <c r="M123" s="60" t="str">
        <f>IF(Data[[#This Row],[InLeft]]=1, Left_Majority, Right_Majority)</f>
        <v>Yes</v>
      </c>
      <c r="N123"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Yes</v>
      </c>
    </row>
    <row r="124" spans="1:14" x14ac:dyDescent="0.3">
      <c r="A124" s="61">
        <v>110</v>
      </c>
      <c r="B124" s="76">
        <v>100000</v>
      </c>
      <c r="C124" s="8">
        <v>17</v>
      </c>
      <c r="D124" s="8">
        <v>15</v>
      </c>
      <c r="E124" s="8">
        <v>36</v>
      </c>
      <c r="F124" s="8" t="s">
        <v>29</v>
      </c>
      <c r="G124" s="8" t="s">
        <v>34</v>
      </c>
      <c r="H124" s="8" t="s">
        <v>32</v>
      </c>
      <c r="I124" s="61">
        <f>IF(Active_Node="Root",1,
   IF(Active_Node="Left",--Data[[#This Row],[RootLeftMask]],
   IF(Active_Node="Right",1-Data[[#This Row],[RootLeftMask]],1)))</f>
        <v>1</v>
      </c>
      <c r="J124"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124"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124" s="61">
        <f>--(NOT(Data[[#This Row],[InLeft]]))</f>
        <v>1</v>
      </c>
      <c r="M124" s="61" t="str">
        <f>IF(Data[[#This Row],[InLeft]]=1, Left_Majority, Right_Majority)</f>
        <v>No</v>
      </c>
      <c r="N124"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Yes</v>
      </c>
    </row>
    <row r="125" spans="1:14" x14ac:dyDescent="0.3">
      <c r="A125" s="60">
        <v>111</v>
      </c>
      <c r="B125" s="76">
        <v>1400000</v>
      </c>
      <c r="C125" s="8">
        <v>12</v>
      </c>
      <c r="D125" s="8">
        <v>3</v>
      </c>
      <c r="E125" s="8">
        <v>33</v>
      </c>
      <c r="F125" s="8" t="s">
        <v>32</v>
      </c>
      <c r="G125" s="8" t="s">
        <v>33</v>
      </c>
      <c r="H125" s="8" t="s">
        <v>32</v>
      </c>
      <c r="I125" s="60">
        <f>IF(Active_Node="Root",1,
   IF(Active_Node="Left",--Data[[#This Row],[RootLeftMask]],
   IF(Active_Node="Right",1-Data[[#This Row],[RootLeftMask]],1)))</f>
        <v>1</v>
      </c>
      <c r="J125"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1</v>
      </c>
      <c r="K125"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1</v>
      </c>
      <c r="L125" s="60">
        <f>--(NOT(Data[[#This Row],[InLeft]]))</f>
        <v>0</v>
      </c>
      <c r="M125" s="60" t="str">
        <f>IF(Data[[#This Row],[InLeft]]=1, Left_Majority, Right_Majority)</f>
        <v>Yes</v>
      </c>
      <c r="N125"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Yes</v>
      </c>
    </row>
    <row r="126" spans="1:14" x14ac:dyDescent="0.3">
      <c r="A126" s="61">
        <v>112</v>
      </c>
      <c r="B126" s="76">
        <v>200000</v>
      </c>
      <c r="C126" s="8">
        <v>12</v>
      </c>
      <c r="D126" s="8">
        <v>10</v>
      </c>
      <c r="E126" s="8">
        <v>67</v>
      </c>
      <c r="F126" s="8" t="s">
        <v>32</v>
      </c>
      <c r="G126" s="8" t="s">
        <v>33</v>
      </c>
      <c r="H126" s="8" t="s">
        <v>29</v>
      </c>
      <c r="I126" s="61">
        <f>IF(Active_Node="Root",1,
   IF(Active_Node="Left",--Data[[#This Row],[RootLeftMask]],
   IF(Active_Node="Right",1-Data[[#This Row],[RootLeftMask]],1)))</f>
        <v>1</v>
      </c>
      <c r="J126"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1</v>
      </c>
      <c r="K126"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1</v>
      </c>
      <c r="L126" s="61">
        <f>--(NOT(Data[[#This Row],[InLeft]]))</f>
        <v>0</v>
      </c>
      <c r="M126" s="61" t="str">
        <f>IF(Data[[#This Row],[InLeft]]=1, Left_Majority, Right_Majority)</f>
        <v>Yes</v>
      </c>
      <c r="N126"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Yes</v>
      </c>
    </row>
    <row r="127" spans="1:14" x14ac:dyDescent="0.3">
      <c r="A127" s="60">
        <v>113</v>
      </c>
      <c r="B127" s="76">
        <v>2300000</v>
      </c>
      <c r="C127" s="8">
        <v>14</v>
      </c>
      <c r="D127" s="8">
        <v>25</v>
      </c>
      <c r="E127" s="8">
        <v>50</v>
      </c>
      <c r="F127" s="8" t="s">
        <v>32</v>
      </c>
      <c r="G127" s="8" t="s">
        <v>33</v>
      </c>
      <c r="H127" s="8" t="s">
        <v>32</v>
      </c>
      <c r="I127" s="60">
        <f>IF(Active_Node="Root",1,
   IF(Active_Node="Left",--Data[[#This Row],[RootLeftMask]],
   IF(Active_Node="Right",1-Data[[#This Row],[RootLeftMask]],1)))</f>
        <v>1</v>
      </c>
      <c r="J127"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1</v>
      </c>
      <c r="K127"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1</v>
      </c>
      <c r="L127" s="60">
        <f>--(NOT(Data[[#This Row],[InLeft]]))</f>
        <v>0</v>
      </c>
      <c r="M127" s="60" t="str">
        <f>IF(Data[[#This Row],[InLeft]]=1, Left_Majority, Right_Majority)</f>
        <v>Yes</v>
      </c>
      <c r="N127"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128" spans="1:14" x14ac:dyDescent="0.3">
      <c r="A128" s="61">
        <v>114</v>
      </c>
      <c r="B128" s="76">
        <v>2400000</v>
      </c>
      <c r="C128" s="8">
        <v>8</v>
      </c>
      <c r="D128" s="8">
        <v>23</v>
      </c>
      <c r="E128" s="8">
        <v>36</v>
      </c>
      <c r="F128" s="8" t="s">
        <v>29</v>
      </c>
      <c r="G128" s="8" t="s">
        <v>33</v>
      </c>
      <c r="H128" s="8" t="s">
        <v>29</v>
      </c>
      <c r="I128" s="61">
        <f>IF(Active_Node="Root",1,
   IF(Active_Node="Left",--Data[[#This Row],[RootLeftMask]],
   IF(Active_Node="Right",1-Data[[#This Row],[RootLeftMask]],1)))</f>
        <v>1</v>
      </c>
      <c r="J128"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128"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128" s="61">
        <f>--(NOT(Data[[#This Row],[InLeft]]))</f>
        <v>1</v>
      </c>
      <c r="M128" s="61" t="str">
        <f>IF(Data[[#This Row],[InLeft]]=1, Left_Majority, Right_Majority)</f>
        <v>No</v>
      </c>
      <c r="N128"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129" spans="1:14" x14ac:dyDescent="0.3">
      <c r="A129" s="60">
        <v>115</v>
      </c>
      <c r="B129" s="76">
        <v>800000</v>
      </c>
      <c r="C129" s="8">
        <v>12</v>
      </c>
      <c r="D129" s="8">
        <v>9</v>
      </c>
      <c r="E129" s="8">
        <v>-1</v>
      </c>
      <c r="F129" s="8" t="s">
        <v>29</v>
      </c>
      <c r="G129" s="8" t="s">
        <v>30</v>
      </c>
      <c r="H129" s="8" t="s">
        <v>29</v>
      </c>
      <c r="I129" s="60">
        <f>IF(Active_Node="Root",1,
   IF(Active_Node="Left",--Data[[#This Row],[RootLeftMask]],
   IF(Active_Node="Right",1-Data[[#This Row],[RootLeftMask]],1)))</f>
        <v>1</v>
      </c>
      <c r="J129"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129"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129" s="60">
        <f>--(NOT(Data[[#This Row],[InLeft]]))</f>
        <v>1</v>
      </c>
      <c r="M129" s="60" t="str">
        <f>IF(Data[[#This Row],[InLeft]]=1, Left_Majority, Right_Majority)</f>
        <v>No</v>
      </c>
      <c r="N129"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130" spans="1:14" x14ac:dyDescent="0.3">
      <c r="A130" s="61">
        <v>116</v>
      </c>
      <c r="B130" s="76">
        <v>2600000</v>
      </c>
      <c r="C130" s="8">
        <v>6</v>
      </c>
      <c r="D130" s="8">
        <v>10</v>
      </c>
      <c r="E130" s="8">
        <v>104</v>
      </c>
      <c r="F130" s="8" t="s">
        <v>32</v>
      </c>
      <c r="G130" s="8" t="s">
        <v>30</v>
      </c>
      <c r="H130" s="8" t="s">
        <v>29</v>
      </c>
      <c r="I130" s="61">
        <f>IF(Active_Node="Root",1,
   IF(Active_Node="Left",--Data[[#This Row],[RootLeftMask]],
   IF(Active_Node="Right",1-Data[[#This Row],[RootLeftMask]],1)))</f>
        <v>1</v>
      </c>
      <c r="J130"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1</v>
      </c>
      <c r="K130"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1</v>
      </c>
      <c r="L130" s="61">
        <f>--(NOT(Data[[#This Row],[InLeft]]))</f>
        <v>0</v>
      </c>
      <c r="M130" s="61" t="str">
        <f>IF(Data[[#This Row],[InLeft]]=1, Left_Majority, Right_Majority)</f>
        <v>Yes</v>
      </c>
      <c r="N130"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Yes</v>
      </c>
    </row>
    <row r="131" spans="1:14" x14ac:dyDescent="0.3">
      <c r="A131" s="60">
        <v>117</v>
      </c>
      <c r="B131" s="76">
        <v>1300000</v>
      </c>
      <c r="C131" s="8">
        <v>12</v>
      </c>
      <c r="D131" s="8">
        <v>4</v>
      </c>
      <c r="E131" s="8">
        <v>57</v>
      </c>
      <c r="F131" s="8" t="s">
        <v>29</v>
      </c>
      <c r="G131" s="8" t="s">
        <v>34</v>
      </c>
      <c r="H131" s="8" t="s">
        <v>29</v>
      </c>
      <c r="I131" s="60">
        <f>IF(Active_Node="Root",1,
   IF(Active_Node="Left",--Data[[#This Row],[RootLeftMask]],
   IF(Active_Node="Right",1-Data[[#This Row],[RootLeftMask]],1)))</f>
        <v>1</v>
      </c>
      <c r="J131"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131"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131" s="60">
        <f>--(NOT(Data[[#This Row],[InLeft]]))</f>
        <v>1</v>
      </c>
      <c r="M131" s="60" t="str">
        <f>IF(Data[[#This Row],[InLeft]]=1, Left_Majority, Right_Majority)</f>
        <v>No</v>
      </c>
      <c r="N131"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132" spans="1:14" x14ac:dyDescent="0.3">
      <c r="A132" s="61">
        <v>118</v>
      </c>
      <c r="B132" s="76">
        <v>800000</v>
      </c>
      <c r="C132" s="8">
        <v>18</v>
      </c>
      <c r="D132" s="8">
        <v>28</v>
      </c>
      <c r="E132" s="8">
        <v>52</v>
      </c>
      <c r="F132" s="8" t="s">
        <v>29</v>
      </c>
      <c r="G132" s="8" t="s">
        <v>30</v>
      </c>
      <c r="H132" s="8" t="s">
        <v>29</v>
      </c>
      <c r="I132" s="61">
        <f>IF(Active_Node="Root",1,
   IF(Active_Node="Left",--Data[[#This Row],[RootLeftMask]],
   IF(Active_Node="Right",1-Data[[#This Row],[RootLeftMask]],1)))</f>
        <v>1</v>
      </c>
      <c r="J132"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132"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132" s="61">
        <f>--(NOT(Data[[#This Row],[InLeft]]))</f>
        <v>1</v>
      </c>
      <c r="M132" s="61" t="str">
        <f>IF(Data[[#This Row],[InLeft]]=1, Left_Majority, Right_Majority)</f>
        <v>No</v>
      </c>
      <c r="N132"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133" spans="1:14" x14ac:dyDescent="0.3">
      <c r="A133" s="60">
        <v>119</v>
      </c>
      <c r="B133" s="76">
        <v>1100000</v>
      </c>
      <c r="C133" s="8">
        <v>10</v>
      </c>
      <c r="D133" s="8">
        <v>12</v>
      </c>
      <c r="E133" s="8">
        <v>118</v>
      </c>
      <c r="F133" s="8" t="s">
        <v>29</v>
      </c>
      <c r="G133" s="8" t="s">
        <v>30</v>
      </c>
      <c r="H133" s="8" t="s">
        <v>29</v>
      </c>
      <c r="I133" s="60">
        <f>IF(Active_Node="Root",1,
   IF(Active_Node="Left",--Data[[#This Row],[RootLeftMask]],
   IF(Active_Node="Right",1-Data[[#This Row],[RootLeftMask]],1)))</f>
        <v>1</v>
      </c>
      <c r="J133"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133"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133" s="60">
        <f>--(NOT(Data[[#This Row],[InLeft]]))</f>
        <v>1</v>
      </c>
      <c r="M133" s="60" t="str">
        <f>IF(Data[[#This Row],[InLeft]]=1, Left_Majority, Right_Majority)</f>
        <v>No</v>
      </c>
      <c r="N133"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134" spans="1:14" x14ac:dyDescent="0.3">
      <c r="A134" s="61">
        <v>120</v>
      </c>
      <c r="B134" s="76">
        <v>2900000</v>
      </c>
      <c r="C134" s="8">
        <v>22</v>
      </c>
      <c r="D134" s="8">
        <v>13</v>
      </c>
      <c r="E134" s="8">
        <v>69</v>
      </c>
      <c r="F134" s="8" t="s">
        <v>32</v>
      </c>
      <c r="G134" s="8" t="s">
        <v>30</v>
      </c>
      <c r="H134" s="8" t="s">
        <v>29</v>
      </c>
      <c r="I134" s="61">
        <f>IF(Active_Node="Root",1,
   IF(Active_Node="Left",--Data[[#This Row],[RootLeftMask]],
   IF(Active_Node="Right",1-Data[[#This Row],[RootLeftMask]],1)))</f>
        <v>1</v>
      </c>
      <c r="J134"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1</v>
      </c>
      <c r="K134"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1</v>
      </c>
      <c r="L134" s="61">
        <f>--(NOT(Data[[#This Row],[InLeft]]))</f>
        <v>0</v>
      </c>
      <c r="M134" s="61" t="str">
        <f>IF(Data[[#This Row],[InLeft]]=1, Left_Majority, Right_Majority)</f>
        <v>Yes</v>
      </c>
      <c r="N134"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135" spans="1:14" x14ac:dyDescent="0.3">
      <c r="A135" s="60">
        <v>121</v>
      </c>
      <c r="B135" s="76">
        <v>2900000</v>
      </c>
      <c r="C135" s="8">
        <v>21</v>
      </c>
      <c r="D135" s="8">
        <v>29</v>
      </c>
      <c r="E135" s="8">
        <v>18</v>
      </c>
      <c r="F135" s="8" t="s">
        <v>32</v>
      </c>
      <c r="G135" s="8" t="s">
        <v>31</v>
      </c>
      <c r="H135" s="8" t="s">
        <v>29</v>
      </c>
      <c r="I135" s="60">
        <f>IF(Active_Node="Root",1,
   IF(Active_Node="Left",--Data[[#This Row],[RootLeftMask]],
   IF(Active_Node="Right",1-Data[[#This Row],[RootLeftMask]],1)))</f>
        <v>1</v>
      </c>
      <c r="J135"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1</v>
      </c>
      <c r="K135"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1</v>
      </c>
      <c r="L135" s="60">
        <f>--(NOT(Data[[#This Row],[InLeft]]))</f>
        <v>0</v>
      </c>
      <c r="M135" s="60" t="str">
        <f>IF(Data[[#This Row],[InLeft]]=1, Left_Majority, Right_Majority)</f>
        <v>Yes</v>
      </c>
      <c r="N135"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136" spans="1:14" x14ac:dyDescent="0.3">
      <c r="A136" s="61">
        <v>122</v>
      </c>
      <c r="B136" s="76">
        <v>1500000</v>
      </c>
      <c r="C136" s="8">
        <v>11</v>
      </c>
      <c r="D136" s="8">
        <v>9</v>
      </c>
      <c r="E136" s="8">
        <v>109</v>
      </c>
      <c r="F136" s="8" t="s">
        <v>29</v>
      </c>
      <c r="G136" s="8" t="s">
        <v>30</v>
      </c>
      <c r="H136" s="8" t="s">
        <v>29</v>
      </c>
      <c r="I136" s="61">
        <f>IF(Active_Node="Root",1,
   IF(Active_Node="Left",--Data[[#This Row],[RootLeftMask]],
   IF(Active_Node="Right",1-Data[[#This Row],[RootLeftMask]],1)))</f>
        <v>1</v>
      </c>
      <c r="J136"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136"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136" s="61">
        <f>--(NOT(Data[[#This Row],[InLeft]]))</f>
        <v>1</v>
      </c>
      <c r="M136" s="61" t="str">
        <f>IF(Data[[#This Row],[InLeft]]=1, Left_Majority, Right_Majority)</f>
        <v>No</v>
      </c>
      <c r="N136"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137" spans="1:14" x14ac:dyDescent="0.3">
      <c r="A137" s="60">
        <v>123</v>
      </c>
      <c r="B137" s="76">
        <v>400000</v>
      </c>
      <c r="C137" s="8">
        <v>14</v>
      </c>
      <c r="D137" s="8">
        <v>10</v>
      </c>
      <c r="E137" s="8">
        <v>52</v>
      </c>
      <c r="F137" s="8" t="s">
        <v>32</v>
      </c>
      <c r="G137" s="8" t="s">
        <v>30</v>
      </c>
      <c r="H137" s="8" t="s">
        <v>29</v>
      </c>
      <c r="I137" s="60">
        <f>IF(Active_Node="Root",1,
   IF(Active_Node="Left",--Data[[#This Row],[RootLeftMask]],
   IF(Active_Node="Right",1-Data[[#This Row],[RootLeftMask]],1)))</f>
        <v>1</v>
      </c>
      <c r="J137"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1</v>
      </c>
      <c r="K137"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1</v>
      </c>
      <c r="L137" s="60">
        <f>--(NOT(Data[[#This Row],[InLeft]]))</f>
        <v>0</v>
      </c>
      <c r="M137" s="60" t="str">
        <f>IF(Data[[#This Row],[InLeft]]=1, Left_Majority, Right_Majority)</f>
        <v>Yes</v>
      </c>
      <c r="N137"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138" spans="1:14" x14ac:dyDescent="0.3">
      <c r="A138" s="61">
        <v>124</v>
      </c>
      <c r="B138" s="76">
        <v>2200000</v>
      </c>
      <c r="C138" s="8">
        <v>15</v>
      </c>
      <c r="D138" s="8">
        <v>21</v>
      </c>
      <c r="E138" s="8">
        <v>0</v>
      </c>
      <c r="F138" s="8" t="s">
        <v>29</v>
      </c>
      <c r="G138" s="8" t="s">
        <v>30</v>
      </c>
      <c r="H138" s="8" t="s">
        <v>29</v>
      </c>
      <c r="I138" s="61">
        <f>IF(Active_Node="Root",1,
   IF(Active_Node="Left",--Data[[#This Row],[RootLeftMask]],
   IF(Active_Node="Right",1-Data[[#This Row],[RootLeftMask]],1)))</f>
        <v>1</v>
      </c>
      <c r="J138"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138"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138" s="61">
        <f>--(NOT(Data[[#This Row],[InLeft]]))</f>
        <v>1</v>
      </c>
      <c r="M138" s="61" t="str">
        <f>IF(Data[[#This Row],[InLeft]]=1, Left_Majority, Right_Majority)</f>
        <v>No</v>
      </c>
      <c r="N138"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139" spans="1:14" x14ac:dyDescent="0.3">
      <c r="A139" s="60">
        <v>125</v>
      </c>
      <c r="B139" s="76">
        <v>1900000</v>
      </c>
      <c r="C139" s="8">
        <v>11</v>
      </c>
      <c r="D139" s="8">
        <v>29</v>
      </c>
      <c r="E139" s="8">
        <v>117</v>
      </c>
      <c r="F139" s="8" t="s">
        <v>29</v>
      </c>
      <c r="G139" s="8" t="s">
        <v>33</v>
      </c>
      <c r="H139" s="8" t="s">
        <v>32</v>
      </c>
      <c r="I139" s="60">
        <f>IF(Active_Node="Root",1,
   IF(Active_Node="Left",--Data[[#This Row],[RootLeftMask]],
   IF(Active_Node="Right",1-Data[[#This Row],[RootLeftMask]],1)))</f>
        <v>1</v>
      </c>
      <c r="J139"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139"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139" s="60">
        <f>--(NOT(Data[[#This Row],[InLeft]]))</f>
        <v>1</v>
      </c>
      <c r="M139" s="60" t="str">
        <f>IF(Data[[#This Row],[InLeft]]=1, Left_Majority, Right_Majority)</f>
        <v>No</v>
      </c>
      <c r="N139"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140" spans="1:14" x14ac:dyDescent="0.3">
      <c r="A140" s="61">
        <v>126</v>
      </c>
      <c r="B140" s="76">
        <v>1700000</v>
      </c>
      <c r="C140" s="8">
        <v>13</v>
      </c>
      <c r="D140" s="8">
        <v>20</v>
      </c>
      <c r="E140" s="8">
        <v>43</v>
      </c>
      <c r="F140" s="8" t="s">
        <v>29</v>
      </c>
      <c r="G140" s="8" t="s">
        <v>34</v>
      </c>
      <c r="H140" s="8" t="s">
        <v>29</v>
      </c>
      <c r="I140" s="61">
        <f>IF(Active_Node="Root",1,
   IF(Active_Node="Left",--Data[[#This Row],[RootLeftMask]],
   IF(Active_Node="Right",1-Data[[#This Row],[RootLeftMask]],1)))</f>
        <v>1</v>
      </c>
      <c r="J140"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140"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140" s="61">
        <f>--(NOT(Data[[#This Row],[InLeft]]))</f>
        <v>1</v>
      </c>
      <c r="M140" s="61" t="str">
        <f>IF(Data[[#This Row],[InLeft]]=1, Left_Majority, Right_Majority)</f>
        <v>No</v>
      </c>
      <c r="N140"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141" spans="1:14" x14ac:dyDescent="0.3">
      <c r="A141" s="60">
        <v>127</v>
      </c>
      <c r="B141" s="76">
        <v>1200000</v>
      </c>
      <c r="C141" s="8">
        <v>23</v>
      </c>
      <c r="D141" s="8">
        <v>21</v>
      </c>
      <c r="E141" s="8">
        <v>6</v>
      </c>
      <c r="F141" s="8" t="s">
        <v>32</v>
      </c>
      <c r="G141" s="8" t="s">
        <v>34</v>
      </c>
      <c r="H141" s="8" t="s">
        <v>29</v>
      </c>
      <c r="I141" s="60">
        <f>IF(Active_Node="Root",1,
   IF(Active_Node="Left",--Data[[#This Row],[RootLeftMask]],
   IF(Active_Node="Right",1-Data[[#This Row],[RootLeftMask]],1)))</f>
        <v>1</v>
      </c>
      <c r="J141"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1</v>
      </c>
      <c r="K141"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1</v>
      </c>
      <c r="L141" s="60">
        <f>--(NOT(Data[[#This Row],[InLeft]]))</f>
        <v>0</v>
      </c>
      <c r="M141" s="60" t="str">
        <f>IF(Data[[#This Row],[InLeft]]=1, Left_Majority, Right_Majority)</f>
        <v>Yes</v>
      </c>
      <c r="N141"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142" spans="1:14" x14ac:dyDescent="0.3">
      <c r="A142" s="61">
        <v>128</v>
      </c>
      <c r="B142" s="76">
        <v>900000</v>
      </c>
      <c r="C142" s="8">
        <v>8</v>
      </c>
      <c r="D142" s="8">
        <v>23</v>
      </c>
      <c r="E142" s="8">
        <v>26</v>
      </c>
      <c r="F142" s="8" t="s">
        <v>32</v>
      </c>
      <c r="G142" s="8" t="s">
        <v>33</v>
      </c>
      <c r="H142" s="8" t="s">
        <v>32</v>
      </c>
      <c r="I142" s="61">
        <f>IF(Active_Node="Root",1,
   IF(Active_Node="Left",--Data[[#This Row],[RootLeftMask]],
   IF(Active_Node="Right",1-Data[[#This Row],[RootLeftMask]],1)))</f>
        <v>1</v>
      </c>
      <c r="J142"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1</v>
      </c>
      <c r="K142"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1</v>
      </c>
      <c r="L142" s="61">
        <f>--(NOT(Data[[#This Row],[InLeft]]))</f>
        <v>0</v>
      </c>
      <c r="M142" s="61" t="str">
        <f>IF(Data[[#This Row],[InLeft]]=1, Left_Majority, Right_Majority)</f>
        <v>Yes</v>
      </c>
      <c r="N142"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Yes</v>
      </c>
    </row>
    <row r="143" spans="1:14" x14ac:dyDescent="0.3">
      <c r="A143" s="60">
        <v>129</v>
      </c>
      <c r="B143" s="76">
        <v>400000</v>
      </c>
      <c r="C143" s="8">
        <v>10</v>
      </c>
      <c r="D143" s="8">
        <v>16</v>
      </c>
      <c r="E143" s="8">
        <v>86</v>
      </c>
      <c r="F143" s="8" t="s">
        <v>29</v>
      </c>
      <c r="G143" s="8" t="s">
        <v>34</v>
      </c>
      <c r="H143" s="8" t="s">
        <v>29</v>
      </c>
      <c r="I143" s="60">
        <f>IF(Active_Node="Root",1,
   IF(Active_Node="Left",--Data[[#This Row],[RootLeftMask]],
   IF(Active_Node="Right",1-Data[[#This Row],[RootLeftMask]],1)))</f>
        <v>1</v>
      </c>
      <c r="J143"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143"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143" s="60">
        <f>--(NOT(Data[[#This Row],[InLeft]]))</f>
        <v>1</v>
      </c>
      <c r="M143" s="60" t="str">
        <f>IF(Data[[#This Row],[InLeft]]=1, Left_Majority, Right_Majority)</f>
        <v>No</v>
      </c>
      <c r="N143"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Yes</v>
      </c>
    </row>
    <row r="144" spans="1:14" x14ac:dyDescent="0.3">
      <c r="A144" s="61">
        <v>130</v>
      </c>
      <c r="B144" s="76">
        <v>400000</v>
      </c>
      <c r="C144" s="8">
        <v>10</v>
      </c>
      <c r="D144" s="8">
        <v>11</v>
      </c>
      <c r="E144" s="8">
        <v>12</v>
      </c>
      <c r="F144" s="8" t="s">
        <v>29</v>
      </c>
      <c r="G144" s="8" t="s">
        <v>31</v>
      </c>
      <c r="H144" s="8" t="s">
        <v>29</v>
      </c>
      <c r="I144" s="61">
        <f>IF(Active_Node="Root",1,
   IF(Active_Node="Left",--Data[[#This Row],[RootLeftMask]],
   IF(Active_Node="Right",1-Data[[#This Row],[RootLeftMask]],1)))</f>
        <v>1</v>
      </c>
      <c r="J144"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144"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144" s="61">
        <f>--(NOT(Data[[#This Row],[InLeft]]))</f>
        <v>1</v>
      </c>
      <c r="M144" s="61" t="str">
        <f>IF(Data[[#This Row],[InLeft]]=1, Left_Majority, Right_Majority)</f>
        <v>No</v>
      </c>
      <c r="N144"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Yes</v>
      </c>
    </row>
    <row r="145" spans="1:14" x14ac:dyDescent="0.3">
      <c r="A145" s="60">
        <v>131</v>
      </c>
      <c r="B145" s="76">
        <v>1400000</v>
      </c>
      <c r="C145" s="8">
        <v>24</v>
      </c>
      <c r="D145" s="8">
        <v>13</v>
      </c>
      <c r="E145" s="8">
        <v>47</v>
      </c>
      <c r="F145" s="8" t="s">
        <v>29</v>
      </c>
      <c r="G145" s="8" t="s">
        <v>30</v>
      </c>
      <c r="H145" s="8" t="s">
        <v>29</v>
      </c>
      <c r="I145" s="60">
        <f>IF(Active_Node="Root",1,
   IF(Active_Node="Left",--Data[[#This Row],[RootLeftMask]],
   IF(Active_Node="Right",1-Data[[#This Row],[RootLeftMask]],1)))</f>
        <v>1</v>
      </c>
      <c r="J145"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145"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145" s="60">
        <f>--(NOT(Data[[#This Row],[InLeft]]))</f>
        <v>1</v>
      </c>
      <c r="M145" s="60" t="str">
        <f>IF(Data[[#This Row],[InLeft]]=1, Left_Majority, Right_Majority)</f>
        <v>No</v>
      </c>
      <c r="N145"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146" spans="1:14" x14ac:dyDescent="0.3">
      <c r="A146" s="61">
        <v>132</v>
      </c>
      <c r="B146" s="76">
        <v>2500000</v>
      </c>
      <c r="C146" s="8">
        <v>7</v>
      </c>
      <c r="D146" s="8">
        <v>14</v>
      </c>
      <c r="E146" s="8">
        <v>110</v>
      </c>
      <c r="F146" s="8" t="s">
        <v>32</v>
      </c>
      <c r="G146" s="8" t="s">
        <v>34</v>
      </c>
      <c r="H146" s="8" t="s">
        <v>32</v>
      </c>
      <c r="I146" s="61">
        <f>IF(Active_Node="Root",1,
   IF(Active_Node="Left",--Data[[#This Row],[RootLeftMask]],
   IF(Active_Node="Right",1-Data[[#This Row],[RootLeftMask]],1)))</f>
        <v>1</v>
      </c>
      <c r="J146"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1</v>
      </c>
      <c r="K146"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1</v>
      </c>
      <c r="L146" s="61">
        <f>--(NOT(Data[[#This Row],[InLeft]]))</f>
        <v>0</v>
      </c>
      <c r="M146" s="61" t="str">
        <f>IF(Data[[#This Row],[InLeft]]=1, Left_Majority, Right_Majority)</f>
        <v>Yes</v>
      </c>
      <c r="N146"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Yes</v>
      </c>
    </row>
    <row r="147" spans="1:14" x14ac:dyDescent="0.3">
      <c r="A147" s="60">
        <v>133</v>
      </c>
      <c r="B147" s="76">
        <v>800000</v>
      </c>
      <c r="C147" s="8">
        <v>8</v>
      </c>
      <c r="D147" s="8">
        <v>17</v>
      </c>
      <c r="E147" s="8">
        <v>110</v>
      </c>
      <c r="F147" s="8" t="s">
        <v>29</v>
      </c>
      <c r="G147" s="8" t="s">
        <v>31</v>
      </c>
      <c r="H147" s="8" t="s">
        <v>29</v>
      </c>
      <c r="I147" s="60">
        <f>IF(Active_Node="Root",1,
   IF(Active_Node="Left",--Data[[#This Row],[RootLeftMask]],
   IF(Active_Node="Right",1-Data[[#This Row],[RootLeftMask]],1)))</f>
        <v>1</v>
      </c>
      <c r="J147"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147"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147" s="60">
        <f>--(NOT(Data[[#This Row],[InLeft]]))</f>
        <v>1</v>
      </c>
      <c r="M147" s="60" t="str">
        <f>IF(Data[[#This Row],[InLeft]]=1, Left_Majority, Right_Majority)</f>
        <v>No</v>
      </c>
      <c r="N147"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148" spans="1:14" x14ac:dyDescent="0.3">
      <c r="A148" s="61">
        <v>134</v>
      </c>
      <c r="B148" s="76">
        <v>2500000</v>
      </c>
      <c r="C148" s="8">
        <v>10</v>
      </c>
      <c r="D148" s="8">
        <v>26</v>
      </c>
      <c r="E148" s="8">
        <v>26</v>
      </c>
      <c r="F148" s="8" t="s">
        <v>29</v>
      </c>
      <c r="G148" s="8" t="s">
        <v>34</v>
      </c>
      <c r="H148" s="8" t="s">
        <v>29</v>
      </c>
      <c r="I148" s="61">
        <f>IF(Active_Node="Root",1,
   IF(Active_Node="Left",--Data[[#This Row],[RootLeftMask]],
   IF(Active_Node="Right",1-Data[[#This Row],[RootLeftMask]],1)))</f>
        <v>1</v>
      </c>
      <c r="J148"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148"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148" s="61">
        <f>--(NOT(Data[[#This Row],[InLeft]]))</f>
        <v>1</v>
      </c>
      <c r="M148" s="61" t="str">
        <f>IF(Data[[#This Row],[InLeft]]=1, Left_Majority, Right_Majority)</f>
        <v>No</v>
      </c>
      <c r="N148"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149" spans="1:14" x14ac:dyDescent="0.3">
      <c r="A149" s="60">
        <v>135</v>
      </c>
      <c r="B149" s="76">
        <v>700000</v>
      </c>
      <c r="C149" s="8">
        <v>22</v>
      </c>
      <c r="D149" s="8">
        <v>19</v>
      </c>
      <c r="E149" s="8">
        <v>87</v>
      </c>
      <c r="F149" s="8" t="s">
        <v>29</v>
      </c>
      <c r="G149" s="8" t="s">
        <v>31</v>
      </c>
      <c r="H149" s="8" t="s">
        <v>32</v>
      </c>
      <c r="I149" s="60">
        <f>IF(Active_Node="Root",1,
   IF(Active_Node="Left",--Data[[#This Row],[RootLeftMask]],
   IF(Active_Node="Right",1-Data[[#This Row],[RootLeftMask]],1)))</f>
        <v>1</v>
      </c>
      <c r="J149"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149"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149" s="60">
        <f>--(NOT(Data[[#This Row],[InLeft]]))</f>
        <v>1</v>
      </c>
      <c r="M149" s="60" t="str">
        <f>IF(Data[[#This Row],[InLeft]]=1, Left_Majority, Right_Majority)</f>
        <v>No</v>
      </c>
      <c r="N149"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Yes</v>
      </c>
    </row>
    <row r="150" spans="1:14" x14ac:dyDescent="0.3">
      <c r="A150" s="61">
        <v>136</v>
      </c>
      <c r="B150" s="76">
        <v>2200000</v>
      </c>
      <c r="C150" s="8">
        <v>9</v>
      </c>
      <c r="D150" s="8">
        <v>10</v>
      </c>
      <c r="E150" s="8">
        <v>20</v>
      </c>
      <c r="F150" s="8" t="s">
        <v>32</v>
      </c>
      <c r="G150" s="8" t="s">
        <v>30</v>
      </c>
      <c r="H150" s="8" t="s">
        <v>32</v>
      </c>
      <c r="I150" s="61">
        <f>IF(Active_Node="Root",1,
   IF(Active_Node="Left",--Data[[#This Row],[RootLeftMask]],
   IF(Active_Node="Right",1-Data[[#This Row],[RootLeftMask]],1)))</f>
        <v>1</v>
      </c>
      <c r="J150"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1</v>
      </c>
      <c r="K150"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1</v>
      </c>
      <c r="L150" s="61">
        <f>--(NOT(Data[[#This Row],[InLeft]]))</f>
        <v>0</v>
      </c>
      <c r="M150" s="61" t="str">
        <f>IF(Data[[#This Row],[InLeft]]=1, Left_Majority, Right_Majority)</f>
        <v>Yes</v>
      </c>
      <c r="N150"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Yes</v>
      </c>
    </row>
    <row r="151" spans="1:14" x14ac:dyDescent="0.3">
      <c r="A151" s="60">
        <v>137</v>
      </c>
      <c r="B151" s="76">
        <v>1200000</v>
      </c>
      <c r="C151" s="8">
        <v>6</v>
      </c>
      <c r="D151" s="8">
        <v>14</v>
      </c>
      <c r="E151" s="8">
        <v>110</v>
      </c>
      <c r="F151" s="8" t="s">
        <v>29</v>
      </c>
      <c r="G151" s="8" t="s">
        <v>30</v>
      </c>
      <c r="H151" s="8" t="s">
        <v>32</v>
      </c>
      <c r="I151" s="60">
        <f>IF(Active_Node="Root",1,
   IF(Active_Node="Left",--Data[[#This Row],[RootLeftMask]],
   IF(Active_Node="Right",1-Data[[#This Row],[RootLeftMask]],1)))</f>
        <v>1</v>
      </c>
      <c r="J151"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151"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151" s="60">
        <f>--(NOT(Data[[#This Row],[InLeft]]))</f>
        <v>1</v>
      </c>
      <c r="M151" s="60" t="str">
        <f>IF(Data[[#This Row],[InLeft]]=1, Left_Majority, Right_Majority)</f>
        <v>No</v>
      </c>
      <c r="N151"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152" spans="1:14" x14ac:dyDescent="0.3">
      <c r="A152" s="61">
        <v>138</v>
      </c>
      <c r="B152" s="76">
        <v>100000</v>
      </c>
      <c r="C152" s="8">
        <v>14</v>
      </c>
      <c r="D152" s="8">
        <v>19</v>
      </c>
      <c r="E152" s="8">
        <v>69</v>
      </c>
      <c r="F152" s="8" t="s">
        <v>32</v>
      </c>
      <c r="G152" s="8" t="s">
        <v>34</v>
      </c>
      <c r="H152" s="8" t="s">
        <v>32</v>
      </c>
      <c r="I152" s="61">
        <f>IF(Active_Node="Root",1,
   IF(Active_Node="Left",--Data[[#This Row],[RootLeftMask]],
   IF(Active_Node="Right",1-Data[[#This Row],[RootLeftMask]],1)))</f>
        <v>1</v>
      </c>
      <c r="J152"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1</v>
      </c>
      <c r="K152"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1</v>
      </c>
      <c r="L152" s="61">
        <f>--(NOT(Data[[#This Row],[InLeft]]))</f>
        <v>0</v>
      </c>
      <c r="M152" s="61" t="str">
        <f>IF(Data[[#This Row],[InLeft]]=1, Left_Majority, Right_Majority)</f>
        <v>Yes</v>
      </c>
      <c r="N152"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153" spans="1:14" x14ac:dyDescent="0.3">
      <c r="A153" s="60">
        <v>139</v>
      </c>
      <c r="B153" s="76">
        <v>1600000</v>
      </c>
      <c r="C153" s="8">
        <v>22</v>
      </c>
      <c r="D153" s="8">
        <v>26</v>
      </c>
      <c r="E153" s="8">
        <v>-9</v>
      </c>
      <c r="F153" s="8" t="s">
        <v>29</v>
      </c>
      <c r="G153" s="8" t="s">
        <v>30</v>
      </c>
      <c r="H153" s="8" t="s">
        <v>29</v>
      </c>
      <c r="I153" s="60">
        <f>IF(Active_Node="Root",1,
   IF(Active_Node="Left",--Data[[#This Row],[RootLeftMask]],
   IF(Active_Node="Right",1-Data[[#This Row],[RootLeftMask]],1)))</f>
        <v>1</v>
      </c>
      <c r="J153"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153"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153" s="60">
        <f>--(NOT(Data[[#This Row],[InLeft]]))</f>
        <v>1</v>
      </c>
      <c r="M153" s="60" t="str">
        <f>IF(Data[[#This Row],[InLeft]]=1, Left_Majority, Right_Majority)</f>
        <v>No</v>
      </c>
      <c r="N153"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154" spans="1:14" x14ac:dyDescent="0.3">
      <c r="A154" s="61">
        <v>140</v>
      </c>
      <c r="B154" s="76">
        <v>2200000</v>
      </c>
      <c r="C154" s="8">
        <v>15</v>
      </c>
      <c r="D154" s="8">
        <v>11</v>
      </c>
      <c r="E154" s="8">
        <v>17</v>
      </c>
      <c r="F154" s="8" t="s">
        <v>29</v>
      </c>
      <c r="G154" s="8" t="s">
        <v>33</v>
      </c>
      <c r="H154" s="8" t="s">
        <v>29</v>
      </c>
      <c r="I154" s="61">
        <f>IF(Active_Node="Root",1,
   IF(Active_Node="Left",--Data[[#This Row],[RootLeftMask]],
   IF(Active_Node="Right",1-Data[[#This Row],[RootLeftMask]],1)))</f>
        <v>1</v>
      </c>
      <c r="J154"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154"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154" s="61">
        <f>--(NOT(Data[[#This Row],[InLeft]]))</f>
        <v>1</v>
      </c>
      <c r="M154" s="61" t="str">
        <f>IF(Data[[#This Row],[InLeft]]=1, Left_Majority, Right_Majority)</f>
        <v>No</v>
      </c>
      <c r="N154"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155" spans="1:14" x14ac:dyDescent="0.3">
      <c r="A155" s="60">
        <v>141</v>
      </c>
      <c r="B155" s="76">
        <v>3000000</v>
      </c>
      <c r="C155" s="8">
        <v>11</v>
      </c>
      <c r="D155" s="8">
        <v>4</v>
      </c>
      <c r="E155" s="8">
        <v>52</v>
      </c>
      <c r="F155" s="8" t="s">
        <v>29</v>
      </c>
      <c r="G155" s="8" t="s">
        <v>33</v>
      </c>
      <c r="H155" s="8" t="s">
        <v>29</v>
      </c>
      <c r="I155" s="60">
        <f>IF(Active_Node="Root",1,
   IF(Active_Node="Left",--Data[[#This Row],[RootLeftMask]],
   IF(Active_Node="Right",1-Data[[#This Row],[RootLeftMask]],1)))</f>
        <v>1</v>
      </c>
      <c r="J155"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155"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155" s="60">
        <f>--(NOT(Data[[#This Row],[InLeft]]))</f>
        <v>1</v>
      </c>
      <c r="M155" s="60" t="str">
        <f>IF(Data[[#This Row],[InLeft]]=1, Left_Majority, Right_Majority)</f>
        <v>No</v>
      </c>
      <c r="N155"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156" spans="1:14" x14ac:dyDescent="0.3">
      <c r="A156" s="61">
        <v>142</v>
      </c>
      <c r="B156" s="76">
        <v>1500000</v>
      </c>
      <c r="C156" s="8">
        <v>21</v>
      </c>
      <c r="D156" s="8">
        <v>27</v>
      </c>
      <c r="E156" s="8">
        <v>88</v>
      </c>
      <c r="F156" s="8" t="s">
        <v>29</v>
      </c>
      <c r="G156" s="8" t="s">
        <v>33</v>
      </c>
      <c r="H156" s="8" t="s">
        <v>29</v>
      </c>
      <c r="I156" s="61">
        <f>IF(Active_Node="Root",1,
   IF(Active_Node="Left",--Data[[#This Row],[RootLeftMask]],
   IF(Active_Node="Right",1-Data[[#This Row],[RootLeftMask]],1)))</f>
        <v>1</v>
      </c>
      <c r="J156"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156"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156" s="61">
        <f>--(NOT(Data[[#This Row],[InLeft]]))</f>
        <v>1</v>
      </c>
      <c r="M156" s="61" t="str">
        <f>IF(Data[[#This Row],[InLeft]]=1, Left_Majority, Right_Majority)</f>
        <v>No</v>
      </c>
      <c r="N156"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157" spans="1:14" x14ac:dyDescent="0.3">
      <c r="A157" s="60">
        <v>143</v>
      </c>
      <c r="B157" s="76">
        <v>900000</v>
      </c>
      <c r="C157" s="8">
        <v>12</v>
      </c>
      <c r="D157" s="8">
        <v>5</v>
      </c>
      <c r="E157" s="8">
        <v>111</v>
      </c>
      <c r="F157" s="8" t="s">
        <v>29</v>
      </c>
      <c r="G157" s="8" t="s">
        <v>30</v>
      </c>
      <c r="H157" s="8" t="s">
        <v>32</v>
      </c>
      <c r="I157" s="60">
        <f>IF(Active_Node="Root",1,
   IF(Active_Node="Left",--Data[[#This Row],[RootLeftMask]],
   IF(Active_Node="Right",1-Data[[#This Row],[RootLeftMask]],1)))</f>
        <v>1</v>
      </c>
      <c r="J157"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157"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157" s="60">
        <f>--(NOT(Data[[#This Row],[InLeft]]))</f>
        <v>1</v>
      </c>
      <c r="M157" s="60" t="str">
        <f>IF(Data[[#This Row],[InLeft]]=1, Left_Majority, Right_Majority)</f>
        <v>No</v>
      </c>
      <c r="N157"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158" spans="1:14" x14ac:dyDescent="0.3">
      <c r="A158" s="61">
        <v>144</v>
      </c>
      <c r="B158" s="76">
        <v>600000</v>
      </c>
      <c r="C158" s="8">
        <v>21</v>
      </c>
      <c r="D158" s="8">
        <v>30</v>
      </c>
      <c r="E158" s="8">
        <v>7</v>
      </c>
      <c r="F158" s="8" t="s">
        <v>29</v>
      </c>
      <c r="G158" s="8" t="s">
        <v>33</v>
      </c>
      <c r="H158" s="8" t="s">
        <v>32</v>
      </c>
      <c r="I158" s="61">
        <f>IF(Active_Node="Root",1,
   IF(Active_Node="Left",--Data[[#This Row],[RootLeftMask]],
   IF(Active_Node="Right",1-Data[[#This Row],[RootLeftMask]],1)))</f>
        <v>1</v>
      </c>
      <c r="J158"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158"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158" s="61">
        <f>--(NOT(Data[[#This Row],[InLeft]]))</f>
        <v>1</v>
      </c>
      <c r="M158" s="61" t="str">
        <f>IF(Data[[#This Row],[InLeft]]=1, Left_Majority, Right_Majority)</f>
        <v>No</v>
      </c>
      <c r="N158"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Yes</v>
      </c>
    </row>
    <row r="159" spans="1:14" x14ac:dyDescent="0.3">
      <c r="A159" s="60">
        <v>145</v>
      </c>
      <c r="B159" s="76">
        <v>900000</v>
      </c>
      <c r="C159" s="8">
        <v>9</v>
      </c>
      <c r="D159" s="8">
        <v>25</v>
      </c>
      <c r="E159" s="8">
        <v>3</v>
      </c>
      <c r="F159" s="8" t="s">
        <v>29</v>
      </c>
      <c r="G159" s="8" t="s">
        <v>31</v>
      </c>
      <c r="H159" s="8" t="s">
        <v>29</v>
      </c>
      <c r="I159" s="60">
        <f>IF(Active_Node="Root",1,
   IF(Active_Node="Left",--Data[[#This Row],[RootLeftMask]],
   IF(Active_Node="Right",1-Data[[#This Row],[RootLeftMask]],1)))</f>
        <v>1</v>
      </c>
      <c r="J159"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159"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159" s="60">
        <f>--(NOT(Data[[#This Row],[InLeft]]))</f>
        <v>1</v>
      </c>
      <c r="M159" s="60" t="str">
        <f>IF(Data[[#This Row],[InLeft]]=1, Left_Majority, Right_Majority)</f>
        <v>No</v>
      </c>
      <c r="N159"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160" spans="1:14" x14ac:dyDescent="0.3">
      <c r="A160" s="61">
        <v>146</v>
      </c>
      <c r="B160" s="76">
        <v>1200000</v>
      </c>
      <c r="C160" s="8">
        <v>10</v>
      </c>
      <c r="D160" s="8">
        <v>28</v>
      </c>
      <c r="E160" s="8">
        <v>55</v>
      </c>
      <c r="F160" s="8" t="s">
        <v>29</v>
      </c>
      <c r="G160" s="8" t="s">
        <v>30</v>
      </c>
      <c r="H160" s="8" t="s">
        <v>29</v>
      </c>
      <c r="I160" s="61">
        <f>IF(Active_Node="Root",1,
   IF(Active_Node="Left",--Data[[#This Row],[RootLeftMask]],
   IF(Active_Node="Right",1-Data[[#This Row],[RootLeftMask]],1)))</f>
        <v>1</v>
      </c>
      <c r="J160"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160"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160" s="61">
        <f>--(NOT(Data[[#This Row],[InLeft]]))</f>
        <v>1</v>
      </c>
      <c r="M160" s="61" t="str">
        <f>IF(Data[[#This Row],[InLeft]]=1, Left_Majority, Right_Majority)</f>
        <v>No</v>
      </c>
      <c r="N160"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161" spans="1:14" x14ac:dyDescent="0.3">
      <c r="A161" s="60">
        <v>147</v>
      </c>
      <c r="B161" s="76">
        <v>1000000</v>
      </c>
      <c r="C161" s="8">
        <v>14</v>
      </c>
      <c r="D161" s="8">
        <v>30</v>
      </c>
      <c r="E161" s="8">
        <v>46</v>
      </c>
      <c r="F161" s="8" t="s">
        <v>29</v>
      </c>
      <c r="G161" s="8" t="s">
        <v>34</v>
      </c>
      <c r="H161" s="8" t="s">
        <v>29</v>
      </c>
      <c r="I161" s="60">
        <f>IF(Active_Node="Root",1,
   IF(Active_Node="Left",--Data[[#This Row],[RootLeftMask]],
   IF(Active_Node="Right",1-Data[[#This Row],[RootLeftMask]],1)))</f>
        <v>1</v>
      </c>
      <c r="J161"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161"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161" s="60">
        <f>--(NOT(Data[[#This Row],[InLeft]]))</f>
        <v>1</v>
      </c>
      <c r="M161" s="60" t="str">
        <f>IF(Data[[#This Row],[InLeft]]=1, Left_Majority, Right_Majority)</f>
        <v>No</v>
      </c>
      <c r="N161"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162" spans="1:14" x14ac:dyDescent="0.3">
      <c r="A162" s="61">
        <v>148</v>
      </c>
      <c r="B162" s="76">
        <v>1200000</v>
      </c>
      <c r="C162" s="8">
        <v>14</v>
      </c>
      <c r="D162" s="8">
        <v>18</v>
      </c>
      <c r="E162" s="8">
        <v>120</v>
      </c>
      <c r="F162" s="8" t="s">
        <v>29</v>
      </c>
      <c r="G162" s="8" t="s">
        <v>31</v>
      </c>
      <c r="H162" s="8" t="s">
        <v>29</v>
      </c>
      <c r="I162" s="61">
        <f>IF(Active_Node="Root",1,
   IF(Active_Node="Left",--Data[[#This Row],[RootLeftMask]],
   IF(Active_Node="Right",1-Data[[#This Row],[RootLeftMask]],1)))</f>
        <v>1</v>
      </c>
      <c r="J162"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162"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162" s="61">
        <f>--(NOT(Data[[#This Row],[InLeft]]))</f>
        <v>1</v>
      </c>
      <c r="M162" s="61" t="str">
        <f>IF(Data[[#This Row],[InLeft]]=1, Left_Majority, Right_Majority)</f>
        <v>No</v>
      </c>
      <c r="N162"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163" spans="1:14" x14ac:dyDescent="0.3">
      <c r="A163" s="60">
        <v>149</v>
      </c>
      <c r="B163" s="76">
        <v>1200000</v>
      </c>
      <c r="C163" s="8">
        <v>10</v>
      </c>
      <c r="D163" s="8">
        <v>22</v>
      </c>
      <c r="E163" s="8">
        <v>51</v>
      </c>
      <c r="F163" s="8" t="s">
        <v>32</v>
      </c>
      <c r="G163" s="8" t="s">
        <v>31</v>
      </c>
      <c r="H163" s="8" t="s">
        <v>32</v>
      </c>
      <c r="I163" s="60">
        <f>IF(Active_Node="Root",1,
   IF(Active_Node="Left",--Data[[#This Row],[RootLeftMask]],
   IF(Active_Node="Right",1-Data[[#This Row],[RootLeftMask]],1)))</f>
        <v>1</v>
      </c>
      <c r="J163"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1</v>
      </c>
      <c r="K163"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1</v>
      </c>
      <c r="L163" s="60">
        <f>--(NOT(Data[[#This Row],[InLeft]]))</f>
        <v>0</v>
      </c>
      <c r="M163" s="60" t="str">
        <f>IF(Data[[#This Row],[InLeft]]=1, Left_Majority, Right_Majority)</f>
        <v>Yes</v>
      </c>
      <c r="N163"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Yes</v>
      </c>
    </row>
    <row r="164" spans="1:14" x14ac:dyDescent="0.3">
      <c r="A164" s="61">
        <v>150</v>
      </c>
      <c r="B164" s="76">
        <v>2900000</v>
      </c>
      <c r="C164" s="8">
        <v>12</v>
      </c>
      <c r="D164" s="8">
        <v>25</v>
      </c>
      <c r="E164" s="8">
        <v>17</v>
      </c>
      <c r="F164" s="8" t="s">
        <v>29</v>
      </c>
      <c r="G164" s="8" t="s">
        <v>30</v>
      </c>
      <c r="H164" s="8" t="s">
        <v>29</v>
      </c>
      <c r="I164" s="61">
        <f>IF(Active_Node="Root",1,
   IF(Active_Node="Left",--Data[[#This Row],[RootLeftMask]],
   IF(Active_Node="Right",1-Data[[#This Row],[RootLeftMask]],1)))</f>
        <v>1</v>
      </c>
      <c r="J164"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164"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164" s="61">
        <f>--(NOT(Data[[#This Row],[InLeft]]))</f>
        <v>1</v>
      </c>
      <c r="M164" s="61" t="str">
        <f>IF(Data[[#This Row],[InLeft]]=1, Left_Majority, Right_Majority)</f>
        <v>No</v>
      </c>
      <c r="N164"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165" spans="1:14" x14ac:dyDescent="0.3">
      <c r="A165" s="60">
        <v>151</v>
      </c>
      <c r="B165" s="76">
        <v>1400000</v>
      </c>
      <c r="C165" s="8">
        <v>19</v>
      </c>
      <c r="D165" s="8">
        <v>16</v>
      </c>
      <c r="E165" s="8">
        <v>53</v>
      </c>
      <c r="F165" s="8" t="s">
        <v>32</v>
      </c>
      <c r="G165" s="8" t="s">
        <v>33</v>
      </c>
      <c r="H165" s="8" t="s">
        <v>32</v>
      </c>
      <c r="I165" s="60">
        <f>IF(Active_Node="Root",1,
   IF(Active_Node="Left",--Data[[#This Row],[RootLeftMask]],
   IF(Active_Node="Right",1-Data[[#This Row],[RootLeftMask]],1)))</f>
        <v>1</v>
      </c>
      <c r="J165"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1</v>
      </c>
      <c r="K165"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1</v>
      </c>
      <c r="L165" s="60">
        <f>--(NOT(Data[[#This Row],[InLeft]]))</f>
        <v>0</v>
      </c>
      <c r="M165" s="60" t="str">
        <f>IF(Data[[#This Row],[InLeft]]=1, Left_Majority, Right_Majority)</f>
        <v>Yes</v>
      </c>
      <c r="N165"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166" spans="1:14" x14ac:dyDescent="0.3">
      <c r="A166" s="61">
        <v>152</v>
      </c>
      <c r="B166" s="76">
        <v>2600000</v>
      </c>
      <c r="C166" s="8">
        <v>16</v>
      </c>
      <c r="D166" s="8">
        <v>4</v>
      </c>
      <c r="E166" s="8">
        <v>83</v>
      </c>
      <c r="F166" s="8" t="s">
        <v>29</v>
      </c>
      <c r="G166" s="8" t="s">
        <v>34</v>
      </c>
      <c r="H166" s="8" t="s">
        <v>32</v>
      </c>
      <c r="I166" s="61">
        <f>IF(Active_Node="Root",1,
   IF(Active_Node="Left",--Data[[#This Row],[RootLeftMask]],
   IF(Active_Node="Right",1-Data[[#This Row],[RootLeftMask]],1)))</f>
        <v>1</v>
      </c>
      <c r="J166"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166"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166" s="61">
        <f>--(NOT(Data[[#This Row],[InLeft]]))</f>
        <v>1</v>
      </c>
      <c r="M166" s="61" t="str">
        <f>IF(Data[[#This Row],[InLeft]]=1, Left_Majority, Right_Majority)</f>
        <v>No</v>
      </c>
      <c r="N166"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167" spans="1:14" x14ac:dyDescent="0.3">
      <c r="A167" s="60">
        <v>153</v>
      </c>
      <c r="B167" s="76">
        <v>1900000</v>
      </c>
      <c r="C167" s="8">
        <v>14</v>
      </c>
      <c r="D167" s="8">
        <v>11</v>
      </c>
      <c r="E167" s="8">
        <v>3</v>
      </c>
      <c r="F167" s="8" t="s">
        <v>29</v>
      </c>
      <c r="G167" s="8" t="s">
        <v>30</v>
      </c>
      <c r="H167" s="8" t="s">
        <v>29</v>
      </c>
      <c r="I167" s="60">
        <f>IF(Active_Node="Root",1,
   IF(Active_Node="Left",--Data[[#This Row],[RootLeftMask]],
   IF(Active_Node="Right",1-Data[[#This Row],[RootLeftMask]],1)))</f>
        <v>1</v>
      </c>
      <c r="J167"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167"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167" s="60">
        <f>--(NOT(Data[[#This Row],[InLeft]]))</f>
        <v>1</v>
      </c>
      <c r="M167" s="60" t="str">
        <f>IF(Data[[#This Row],[InLeft]]=1, Left_Majority, Right_Majority)</f>
        <v>No</v>
      </c>
      <c r="N167"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168" spans="1:14" x14ac:dyDescent="0.3">
      <c r="A168" s="61">
        <v>154</v>
      </c>
      <c r="B168" s="76">
        <v>800000</v>
      </c>
      <c r="C168" s="8">
        <v>6</v>
      </c>
      <c r="D168" s="8">
        <v>20</v>
      </c>
      <c r="E168" s="8">
        <v>8</v>
      </c>
      <c r="F168" s="8" t="s">
        <v>29</v>
      </c>
      <c r="G168" s="8" t="s">
        <v>31</v>
      </c>
      <c r="H168" s="8" t="s">
        <v>29</v>
      </c>
      <c r="I168" s="61">
        <f>IF(Active_Node="Root",1,
   IF(Active_Node="Left",--Data[[#This Row],[RootLeftMask]],
   IF(Active_Node="Right",1-Data[[#This Row],[RootLeftMask]],1)))</f>
        <v>1</v>
      </c>
      <c r="J168"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168"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168" s="61">
        <f>--(NOT(Data[[#This Row],[InLeft]]))</f>
        <v>1</v>
      </c>
      <c r="M168" s="61" t="str">
        <f>IF(Data[[#This Row],[InLeft]]=1, Left_Majority, Right_Majority)</f>
        <v>No</v>
      </c>
      <c r="N168"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169" spans="1:14" x14ac:dyDescent="0.3">
      <c r="A169" s="60">
        <v>155</v>
      </c>
      <c r="B169" s="76">
        <v>3000000</v>
      </c>
      <c r="C169" s="8">
        <v>20</v>
      </c>
      <c r="D169" s="8">
        <v>9</v>
      </c>
      <c r="E169" s="8">
        <v>64</v>
      </c>
      <c r="F169" s="8" t="s">
        <v>32</v>
      </c>
      <c r="G169" s="8" t="s">
        <v>34</v>
      </c>
      <c r="H169" s="8" t="s">
        <v>29</v>
      </c>
      <c r="I169" s="60">
        <f>IF(Active_Node="Root",1,
   IF(Active_Node="Left",--Data[[#This Row],[RootLeftMask]],
   IF(Active_Node="Right",1-Data[[#This Row],[RootLeftMask]],1)))</f>
        <v>1</v>
      </c>
      <c r="J169"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1</v>
      </c>
      <c r="K169"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1</v>
      </c>
      <c r="L169" s="60">
        <f>--(NOT(Data[[#This Row],[InLeft]]))</f>
        <v>0</v>
      </c>
      <c r="M169" s="60" t="str">
        <f>IF(Data[[#This Row],[InLeft]]=1, Left_Majority, Right_Majority)</f>
        <v>Yes</v>
      </c>
      <c r="N169"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170" spans="1:14" x14ac:dyDescent="0.3">
      <c r="A170" s="61">
        <v>156</v>
      </c>
      <c r="B170" s="76">
        <v>1200000</v>
      </c>
      <c r="C170" s="8">
        <v>9</v>
      </c>
      <c r="D170" s="8">
        <v>29</v>
      </c>
      <c r="E170" s="8">
        <v>108</v>
      </c>
      <c r="F170" s="8" t="s">
        <v>29</v>
      </c>
      <c r="G170" s="8" t="s">
        <v>31</v>
      </c>
      <c r="H170" s="8" t="s">
        <v>29</v>
      </c>
      <c r="I170" s="61">
        <f>IF(Active_Node="Root",1,
   IF(Active_Node="Left",--Data[[#This Row],[RootLeftMask]],
   IF(Active_Node="Right",1-Data[[#This Row],[RootLeftMask]],1)))</f>
        <v>1</v>
      </c>
      <c r="J170"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170"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170" s="61">
        <f>--(NOT(Data[[#This Row],[InLeft]]))</f>
        <v>1</v>
      </c>
      <c r="M170" s="61" t="str">
        <f>IF(Data[[#This Row],[InLeft]]=1, Left_Majority, Right_Majority)</f>
        <v>No</v>
      </c>
      <c r="N170"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171" spans="1:14" x14ac:dyDescent="0.3">
      <c r="A171" s="60">
        <v>157</v>
      </c>
      <c r="B171" s="76">
        <v>1000000</v>
      </c>
      <c r="C171" s="8">
        <v>18</v>
      </c>
      <c r="D171" s="8">
        <v>29</v>
      </c>
      <c r="E171" s="8">
        <v>47</v>
      </c>
      <c r="F171" s="8" t="s">
        <v>32</v>
      </c>
      <c r="G171" s="8" t="s">
        <v>34</v>
      </c>
      <c r="H171" s="8" t="s">
        <v>29</v>
      </c>
      <c r="I171" s="60">
        <f>IF(Active_Node="Root",1,
   IF(Active_Node="Left",--Data[[#This Row],[RootLeftMask]],
   IF(Active_Node="Right",1-Data[[#This Row],[RootLeftMask]],1)))</f>
        <v>1</v>
      </c>
      <c r="J171"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1</v>
      </c>
      <c r="K171"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1</v>
      </c>
      <c r="L171" s="60">
        <f>--(NOT(Data[[#This Row],[InLeft]]))</f>
        <v>0</v>
      </c>
      <c r="M171" s="60" t="str">
        <f>IF(Data[[#This Row],[InLeft]]=1, Left_Majority, Right_Majority)</f>
        <v>Yes</v>
      </c>
      <c r="N171"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172" spans="1:14" x14ac:dyDescent="0.3">
      <c r="A172" s="61">
        <v>158</v>
      </c>
      <c r="B172" s="76">
        <v>1800000</v>
      </c>
      <c r="C172" s="8">
        <v>12</v>
      </c>
      <c r="D172" s="8">
        <v>22</v>
      </c>
      <c r="E172" s="8">
        <v>30</v>
      </c>
      <c r="F172" s="8" t="s">
        <v>29</v>
      </c>
      <c r="G172" s="8" t="s">
        <v>30</v>
      </c>
      <c r="H172" s="8" t="s">
        <v>29</v>
      </c>
      <c r="I172" s="61">
        <f>IF(Active_Node="Root",1,
   IF(Active_Node="Left",--Data[[#This Row],[RootLeftMask]],
   IF(Active_Node="Right",1-Data[[#This Row],[RootLeftMask]],1)))</f>
        <v>1</v>
      </c>
      <c r="J172"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172"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172" s="61">
        <f>--(NOT(Data[[#This Row],[InLeft]]))</f>
        <v>1</v>
      </c>
      <c r="M172" s="61" t="str">
        <f>IF(Data[[#This Row],[InLeft]]=1, Left_Majority, Right_Majority)</f>
        <v>No</v>
      </c>
      <c r="N172"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173" spans="1:14" x14ac:dyDescent="0.3">
      <c r="A173" s="60">
        <v>159</v>
      </c>
      <c r="B173" s="76">
        <v>2000000</v>
      </c>
      <c r="C173" s="8">
        <v>6</v>
      </c>
      <c r="D173" s="8">
        <v>15</v>
      </c>
      <c r="E173" s="8">
        <v>84</v>
      </c>
      <c r="F173" s="8" t="s">
        <v>29</v>
      </c>
      <c r="G173" s="8" t="s">
        <v>31</v>
      </c>
      <c r="H173" s="8" t="s">
        <v>29</v>
      </c>
      <c r="I173" s="60">
        <f>IF(Active_Node="Root",1,
   IF(Active_Node="Left",--Data[[#This Row],[RootLeftMask]],
   IF(Active_Node="Right",1-Data[[#This Row],[RootLeftMask]],1)))</f>
        <v>1</v>
      </c>
      <c r="J173"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173"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173" s="60">
        <f>--(NOT(Data[[#This Row],[InLeft]]))</f>
        <v>1</v>
      </c>
      <c r="M173" s="60" t="str">
        <f>IF(Data[[#This Row],[InLeft]]=1, Left_Majority, Right_Majority)</f>
        <v>No</v>
      </c>
      <c r="N173"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174" spans="1:14" x14ac:dyDescent="0.3">
      <c r="A174" s="61">
        <v>160</v>
      </c>
      <c r="B174" s="76">
        <v>1200000</v>
      </c>
      <c r="C174" s="8">
        <v>19</v>
      </c>
      <c r="D174" s="8">
        <v>27</v>
      </c>
      <c r="E174" s="8">
        <v>-8</v>
      </c>
      <c r="F174" s="8" t="s">
        <v>29</v>
      </c>
      <c r="G174" s="8" t="s">
        <v>30</v>
      </c>
      <c r="H174" s="8" t="s">
        <v>29</v>
      </c>
      <c r="I174" s="61">
        <f>IF(Active_Node="Root",1,
   IF(Active_Node="Left",--Data[[#This Row],[RootLeftMask]],
   IF(Active_Node="Right",1-Data[[#This Row],[RootLeftMask]],1)))</f>
        <v>1</v>
      </c>
      <c r="J174"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174"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174" s="61">
        <f>--(NOT(Data[[#This Row],[InLeft]]))</f>
        <v>1</v>
      </c>
      <c r="M174" s="61" t="str">
        <f>IF(Data[[#This Row],[InLeft]]=1, Left_Majority, Right_Majority)</f>
        <v>No</v>
      </c>
      <c r="N174"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175" spans="1:14" x14ac:dyDescent="0.3">
      <c r="A175" s="60">
        <v>161</v>
      </c>
      <c r="B175" s="76">
        <v>700000</v>
      </c>
      <c r="C175" s="8">
        <v>15</v>
      </c>
      <c r="D175" s="8">
        <v>23</v>
      </c>
      <c r="E175" s="8">
        <v>-8</v>
      </c>
      <c r="F175" s="8" t="s">
        <v>29</v>
      </c>
      <c r="G175" s="8" t="s">
        <v>33</v>
      </c>
      <c r="H175" s="8" t="s">
        <v>32</v>
      </c>
      <c r="I175" s="60">
        <f>IF(Active_Node="Root",1,
   IF(Active_Node="Left",--Data[[#This Row],[RootLeftMask]],
   IF(Active_Node="Right",1-Data[[#This Row],[RootLeftMask]],1)))</f>
        <v>1</v>
      </c>
      <c r="J175"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175"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175" s="60">
        <f>--(NOT(Data[[#This Row],[InLeft]]))</f>
        <v>1</v>
      </c>
      <c r="M175" s="60" t="str">
        <f>IF(Data[[#This Row],[InLeft]]=1, Left_Majority, Right_Majority)</f>
        <v>No</v>
      </c>
      <c r="N175"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Yes</v>
      </c>
    </row>
    <row r="176" spans="1:14" x14ac:dyDescent="0.3">
      <c r="A176" s="61">
        <v>162</v>
      </c>
      <c r="B176" s="76">
        <v>500000</v>
      </c>
      <c r="C176" s="8">
        <v>16</v>
      </c>
      <c r="D176" s="8">
        <v>22</v>
      </c>
      <c r="E176" s="8">
        <v>2</v>
      </c>
      <c r="F176" s="8" t="s">
        <v>29</v>
      </c>
      <c r="G176" s="8" t="s">
        <v>30</v>
      </c>
      <c r="H176" s="8" t="s">
        <v>29</v>
      </c>
      <c r="I176" s="61">
        <f>IF(Active_Node="Root",1,
   IF(Active_Node="Left",--Data[[#This Row],[RootLeftMask]],
   IF(Active_Node="Right",1-Data[[#This Row],[RootLeftMask]],1)))</f>
        <v>1</v>
      </c>
      <c r="J176"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176"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176" s="61">
        <f>--(NOT(Data[[#This Row],[InLeft]]))</f>
        <v>1</v>
      </c>
      <c r="M176" s="61" t="str">
        <f>IF(Data[[#This Row],[InLeft]]=1, Left_Majority, Right_Majority)</f>
        <v>No</v>
      </c>
      <c r="N176"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Yes</v>
      </c>
    </row>
    <row r="177" spans="1:14" x14ac:dyDescent="0.3">
      <c r="A177" s="60">
        <v>163</v>
      </c>
      <c r="B177" s="76">
        <v>700000</v>
      </c>
      <c r="C177" s="8">
        <v>8</v>
      </c>
      <c r="D177" s="8">
        <v>7</v>
      </c>
      <c r="E177" s="8">
        <v>29</v>
      </c>
      <c r="F177" s="8" t="s">
        <v>29</v>
      </c>
      <c r="G177" s="8" t="s">
        <v>31</v>
      </c>
      <c r="H177" s="8" t="s">
        <v>29</v>
      </c>
      <c r="I177" s="60">
        <f>IF(Active_Node="Root",1,
   IF(Active_Node="Left",--Data[[#This Row],[RootLeftMask]],
   IF(Active_Node="Right",1-Data[[#This Row],[RootLeftMask]],1)))</f>
        <v>1</v>
      </c>
      <c r="J177"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177"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177" s="60">
        <f>--(NOT(Data[[#This Row],[InLeft]]))</f>
        <v>1</v>
      </c>
      <c r="M177" s="60" t="str">
        <f>IF(Data[[#This Row],[InLeft]]=1, Left_Majority, Right_Majority)</f>
        <v>No</v>
      </c>
      <c r="N177"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Yes</v>
      </c>
    </row>
    <row r="178" spans="1:14" x14ac:dyDescent="0.3">
      <c r="A178" s="61">
        <v>164</v>
      </c>
      <c r="B178" s="76">
        <v>900000</v>
      </c>
      <c r="C178" s="8">
        <v>21</v>
      </c>
      <c r="D178" s="8">
        <v>4</v>
      </c>
      <c r="E178" s="8">
        <v>97</v>
      </c>
      <c r="F178" s="8" t="s">
        <v>29</v>
      </c>
      <c r="G178" s="8" t="s">
        <v>33</v>
      </c>
      <c r="H178" s="8" t="s">
        <v>29</v>
      </c>
      <c r="I178" s="61">
        <f>IF(Active_Node="Root",1,
   IF(Active_Node="Left",--Data[[#This Row],[RootLeftMask]],
   IF(Active_Node="Right",1-Data[[#This Row],[RootLeftMask]],1)))</f>
        <v>1</v>
      </c>
      <c r="J178"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178"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178" s="61">
        <f>--(NOT(Data[[#This Row],[InLeft]]))</f>
        <v>1</v>
      </c>
      <c r="M178" s="61" t="str">
        <f>IF(Data[[#This Row],[InLeft]]=1, Left_Majority, Right_Majority)</f>
        <v>No</v>
      </c>
      <c r="N178"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179" spans="1:14" x14ac:dyDescent="0.3">
      <c r="A179" s="60">
        <v>165</v>
      </c>
      <c r="B179" s="76">
        <v>2000000</v>
      </c>
      <c r="C179" s="8">
        <v>18</v>
      </c>
      <c r="D179" s="8">
        <v>21</v>
      </c>
      <c r="E179" s="8">
        <v>97</v>
      </c>
      <c r="F179" s="8" t="s">
        <v>29</v>
      </c>
      <c r="G179" s="8" t="s">
        <v>30</v>
      </c>
      <c r="H179" s="8" t="s">
        <v>29</v>
      </c>
      <c r="I179" s="60">
        <f>IF(Active_Node="Root",1,
   IF(Active_Node="Left",--Data[[#This Row],[RootLeftMask]],
   IF(Active_Node="Right",1-Data[[#This Row],[RootLeftMask]],1)))</f>
        <v>1</v>
      </c>
      <c r="J179"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179"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179" s="60">
        <f>--(NOT(Data[[#This Row],[InLeft]]))</f>
        <v>1</v>
      </c>
      <c r="M179" s="60" t="str">
        <f>IF(Data[[#This Row],[InLeft]]=1, Left_Majority, Right_Majority)</f>
        <v>No</v>
      </c>
      <c r="N179"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180" spans="1:14" x14ac:dyDescent="0.3">
      <c r="A180" s="61">
        <v>166</v>
      </c>
      <c r="B180" s="76">
        <v>2500000</v>
      </c>
      <c r="C180" s="8">
        <v>13</v>
      </c>
      <c r="D180" s="8">
        <v>29</v>
      </c>
      <c r="E180" s="8">
        <v>101</v>
      </c>
      <c r="F180" s="8" t="s">
        <v>32</v>
      </c>
      <c r="G180" s="8" t="s">
        <v>31</v>
      </c>
      <c r="H180" s="8" t="s">
        <v>32</v>
      </c>
      <c r="I180" s="61">
        <f>IF(Active_Node="Root",1,
   IF(Active_Node="Left",--Data[[#This Row],[RootLeftMask]],
   IF(Active_Node="Right",1-Data[[#This Row],[RootLeftMask]],1)))</f>
        <v>1</v>
      </c>
      <c r="J180"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1</v>
      </c>
      <c r="K180"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1</v>
      </c>
      <c r="L180" s="61">
        <f>--(NOT(Data[[#This Row],[InLeft]]))</f>
        <v>0</v>
      </c>
      <c r="M180" s="61" t="str">
        <f>IF(Data[[#This Row],[InLeft]]=1, Left_Majority, Right_Majority)</f>
        <v>Yes</v>
      </c>
      <c r="N180"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Yes</v>
      </c>
    </row>
    <row r="181" spans="1:14" x14ac:dyDescent="0.3">
      <c r="A181" s="60">
        <v>167</v>
      </c>
      <c r="B181" s="76">
        <v>2200000</v>
      </c>
      <c r="C181" s="8">
        <v>8</v>
      </c>
      <c r="D181" s="8">
        <v>29</v>
      </c>
      <c r="E181" s="8">
        <v>92</v>
      </c>
      <c r="F181" s="8" t="s">
        <v>29</v>
      </c>
      <c r="G181" s="8" t="s">
        <v>33</v>
      </c>
      <c r="H181" s="8" t="s">
        <v>29</v>
      </c>
      <c r="I181" s="60">
        <f>IF(Active_Node="Root",1,
   IF(Active_Node="Left",--Data[[#This Row],[RootLeftMask]],
   IF(Active_Node="Right",1-Data[[#This Row],[RootLeftMask]],1)))</f>
        <v>1</v>
      </c>
      <c r="J181"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181"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181" s="60">
        <f>--(NOT(Data[[#This Row],[InLeft]]))</f>
        <v>1</v>
      </c>
      <c r="M181" s="60" t="str">
        <f>IF(Data[[#This Row],[InLeft]]=1, Left_Majority, Right_Majority)</f>
        <v>No</v>
      </c>
      <c r="N181"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182" spans="1:14" x14ac:dyDescent="0.3">
      <c r="A182" s="61">
        <v>168</v>
      </c>
      <c r="B182" s="76">
        <v>1400000</v>
      </c>
      <c r="C182" s="8">
        <v>17</v>
      </c>
      <c r="D182" s="8">
        <v>13</v>
      </c>
      <c r="E182" s="8">
        <v>24</v>
      </c>
      <c r="F182" s="8" t="s">
        <v>29</v>
      </c>
      <c r="G182" s="8" t="s">
        <v>34</v>
      </c>
      <c r="H182" s="8" t="s">
        <v>29</v>
      </c>
      <c r="I182" s="61">
        <f>IF(Active_Node="Root",1,
   IF(Active_Node="Left",--Data[[#This Row],[RootLeftMask]],
   IF(Active_Node="Right",1-Data[[#This Row],[RootLeftMask]],1)))</f>
        <v>1</v>
      </c>
      <c r="J182"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182"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182" s="61">
        <f>--(NOT(Data[[#This Row],[InLeft]]))</f>
        <v>1</v>
      </c>
      <c r="M182" s="61" t="str">
        <f>IF(Data[[#This Row],[InLeft]]=1, Left_Majority, Right_Majority)</f>
        <v>No</v>
      </c>
      <c r="N182"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183" spans="1:14" x14ac:dyDescent="0.3">
      <c r="A183" s="60">
        <v>169</v>
      </c>
      <c r="B183" s="76">
        <v>1100000</v>
      </c>
      <c r="C183" s="8">
        <v>11</v>
      </c>
      <c r="D183" s="8">
        <v>8</v>
      </c>
      <c r="E183" s="8">
        <v>90</v>
      </c>
      <c r="F183" s="8" t="s">
        <v>29</v>
      </c>
      <c r="G183" s="8" t="s">
        <v>31</v>
      </c>
      <c r="H183" s="8" t="s">
        <v>29</v>
      </c>
      <c r="I183" s="60">
        <f>IF(Active_Node="Root",1,
   IF(Active_Node="Left",--Data[[#This Row],[RootLeftMask]],
   IF(Active_Node="Right",1-Data[[#This Row],[RootLeftMask]],1)))</f>
        <v>1</v>
      </c>
      <c r="J183"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183"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183" s="60">
        <f>--(NOT(Data[[#This Row],[InLeft]]))</f>
        <v>1</v>
      </c>
      <c r="M183" s="60" t="str">
        <f>IF(Data[[#This Row],[InLeft]]=1, Left_Majority, Right_Majority)</f>
        <v>No</v>
      </c>
      <c r="N183"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184" spans="1:14" x14ac:dyDescent="0.3">
      <c r="A184" s="61">
        <v>170</v>
      </c>
      <c r="B184" s="76">
        <v>2300000</v>
      </c>
      <c r="C184" s="8">
        <v>10</v>
      </c>
      <c r="D184" s="8">
        <v>27</v>
      </c>
      <c r="E184" s="8">
        <v>71</v>
      </c>
      <c r="F184" s="8" t="s">
        <v>29</v>
      </c>
      <c r="G184" s="8" t="s">
        <v>34</v>
      </c>
      <c r="H184" s="8" t="s">
        <v>29</v>
      </c>
      <c r="I184" s="61">
        <f>IF(Active_Node="Root",1,
   IF(Active_Node="Left",--Data[[#This Row],[RootLeftMask]],
   IF(Active_Node="Right",1-Data[[#This Row],[RootLeftMask]],1)))</f>
        <v>1</v>
      </c>
      <c r="J184"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184"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184" s="61">
        <f>--(NOT(Data[[#This Row],[InLeft]]))</f>
        <v>1</v>
      </c>
      <c r="M184" s="61" t="str">
        <f>IF(Data[[#This Row],[InLeft]]=1, Left_Majority, Right_Majority)</f>
        <v>No</v>
      </c>
      <c r="N184"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185" spans="1:14" x14ac:dyDescent="0.3">
      <c r="A185" s="60">
        <v>171</v>
      </c>
      <c r="B185" s="76">
        <v>2800000</v>
      </c>
      <c r="C185" s="8">
        <v>20</v>
      </c>
      <c r="D185" s="8">
        <v>30</v>
      </c>
      <c r="E185" s="8">
        <v>62</v>
      </c>
      <c r="F185" s="8" t="s">
        <v>29</v>
      </c>
      <c r="G185" s="8" t="s">
        <v>34</v>
      </c>
      <c r="H185" s="8" t="s">
        <v>29</v>
      </c>
      <c r="I185" s="60">
        <f>IF(Active_Node="Root",1,
   IF(Active_Node="Left",--Data[[#This Row],[RootLeftMask]],
   IF(Active_Node="Right",1-Data[[#This Row],[RootLeftMask]],1)))</f>
        <v>1</v>
      </c>
      <c r="J185"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185"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185" s="60">
        <f>--(NOT(Data[[#This Row],[InLeft]]))</f>
        <v>1</v>
      </c>
      <c r="M185" s="60" t="str">
        <f>IF(Data[[#This Row],[InLeft]]=1, Left_Majority, Right_Majority)</f>
        <v>No</v>
      </c>
      <c r="N185"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186" spans="1:14" x14ac:dyDescent="0.3">
      <c r="A186" s="61">
        <v>172</v>
      </c>
      <c r="B186" s="76">
        <v>2800000</v>
      </c>
      <c r="C186" s="8">
        <v>10</v>
      </c>
      <c r="D186" s="8">
        <v>17</v>
      </c>
      <c r="E186" s="8">
        <v>96</v>
      </c>
      <c r="F186" s="8" t="s">
        <v>32</v>
      </c>
      <c r="G186" s="8" t="s">
        <v>30</v>
      </c>
      <c r="H186" s="8" t="s">
        <v>29</v>
      </c>
      <c r="I186" s="61">
        <f>IF(Active_Node="Root",1,
   IF(Active_Node="Left",--Data[[#This Row],[RootLeftMask]],
   IF(Active_Node="Right",1-Data[[#This Row],[RootLeftMask]],1)))</f>
        <v>1</v>
      </c>
      <c r="J186"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1</v>
      </c>
      <c r="K186"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1</v>
      </c>
      <c r="L186" s="61">
        <f>--(NOT(Data[[#This Row],[InLeft]]))</f>
        <v>0</v>
      </c>
      <c r="M186" s="61" t="str">
        <f>IF(Data[[#This Row],[InLeft]]=1, Left_Majority, Right_Majority)</f>
        <v>Yes</v>
      </c>
      <c r="N186"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Yes</v>
      </c>
    </row>
    <row r="187" spans="1:14" x14ac:dyDescent="0.3">
      <c r="A187" s="60">
        <v>173</v>
      </c>
      <c r="B187" s="76">
        <v>1100000</v>
      </c>
      <c r="C187" s="8">
        <v>24</v>
      </c>
      <c r="D187" s="8">
        <v>7</v>
      </c>
      <c r="E187" s="8">
        <v>61</v>
      </c>
      <c r="F187" s="8" t="s">
        <v>32</v>
      </c>
      <c r="G187" s="8" t="s">
        <v>31</v>
      </c>
      <c r="H187" s="8" t="s">
        <v>29</v>
      </c>
      <c r="I187" s="60">
        <f>IF(Active_Node="Root",1,
   IF(Active_Node="Left",--Data[[#This Row],[RootLeftMask]],
   IF(Active_Node="Right",1-Data[[#This Row],[RootLeftMask]],1)))</f>
        <v>1</v>
      </c>
      <c r="J187"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1</v>
      </c>
      <c r="K187"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1</v>
      </c>
      <c r="L187" s="60">
        <f>--(NOT(Data[[#This Row],[InLeft]]))</f>
        <v>0</v>
      </c>
      <c r="M187" s="60" t="str">
        <f>IF(Data[[#This Row],[InLeft]]=1, Left_Majority, Right_Majority)</f>
        <v>Yes</v>
      </c>
      <c r="N187"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188" spans="1:14" x14ac:dyDescent="0.3">
      <c r="A188" s="61">
        <v>174</v>
      </c>
      <c r="B188" s="76">
        <v>2000000</v>
      </c>
      <c r="C188" s="8">
        <v>13</v>
      </c>
      <c r="D188" s="8">
        <v>15</v>
      </c>
      <c r="E188" s="8">
        <v>103</v>
      </c>
      <c r="F188" s="8" t="s">
        <v>32</v>
      </c>
      <c r="G188" s="8" t="s">
        <v>33</v>
      </c>
      <c r="H188" s="8" t="s">
        <v>32</v>
      </c>
      <c r="I188" s="61">
        <f>IF(Active_Node="Root",1,
   IF(Active_Node="Left",--Data[[#This Row],[RootLeftMask]],
   IF(Active_Node="Right",1-Data[[#This Row],[RootLeftMask]],1)))</f>
        <v>1</v>
      </c>
      <c r="J188"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1</v>
      </c>
      <c r="K188"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1</v>
      </c>
      <c r="L188" s="61">
        <f>--(NOT(Data[[#This Row],[InLeft]]))</f>
        <v>0</v>
      </c>
      <c r="M188" s="61" t="str">
        <f>IF(Data[[#This Row],[InLeft]]=1, Left_Majority, Right_Majority)</f>
        <v>Yes</v>
      </c>
      <c r="N188"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Yes</v>
      </c>
    </row>
    <row r="189" spans="1:14" x14ac:dyDescent="0.3">
      <c r="A189" s="60">
        <v>175</v>
      </c>
      <c r="B189" s="76">
        <v>2300000</v>
      </c>
      <c r="C189" s="8">
        <v>14</v>
      </c>
      <c r="D189" s="8">
        <v>9</v>
      </c>
      <c r="E189" s="8">
        <v>92</v>
      </c>
      <c r="F189" s="8" t="s">
        <v>29</v>
      </c>
      <c r="G189" s="8" t="s">
        <v>30</v>
      </c>
      <c r="H189" s="8" t="s">
        <v>29</v>
      </c>
      <c r="I189" s="60">
        <f>IF(Active_Node="Root",1,
   IF(Active_Node="Left",--Data[[#This Row],[RootLeftMask]],
   IF(Active_Node="Right",1-Data[[#This Row],[RootLeftMask]],1)))</f>
        <v>1</v>
      </c>
      <c r="J189"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189"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189" s="60">
        <f>--(NOT(Data[[#This Row],[InLeft]]))</f>
        <v>1</v>
      </c>
      <c r="M189" s="60" t="str">
        <f>IF(Data[[#This Row],[InLeft]]=1, Left_Majority, Right_Majority)</f>
        <v>No</v>
      </c>
      <c r="N189"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190" spans="1:14" x14ac:dyDescent="0.3">
      <c r="A190" s="61">
        <v>176</v>
      </c>
      <c r="B190" s="76">
        <v>200000</v>
      </c>
      <c r="C190" s="8">
        <v>7</v>
      </c>
      <c r="D190" s="8">
        <v>5</v>
      </c>
      <c r="E190" s="8">
        <v>82</v>
      </c>
      <c r="F190" s="8" t="s">
        <v>29</v>
      </c>
      <c r="G190" s="8" t="s">
        <v>33</v>
      </c>
      <c r="H190" s="8" t="s">
        <v>29</v>
      </c>
      <c r="I190" s="61">
        <f>IF(Active_Node="Root",1,
   IF(Active_Node="Left",--Data[[#This Row],[RootLeftMask]],
   IF(Active_Node="Right",1-Data[[#This Row],[RootLeftMask]],1)))</f>
        <v>1</v>
      </c>
      <c r="J190"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190"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190" s="61">
        <f>--(NOT(Data[[#This Row],[InLeft]]))</f>
        <v>1</v>
      </c>
      <c r="M190" s="61" t="str">
        <f>IF(Data[[#This Row],[InLeft]]=1, Left_Majority, Right_Majority)</f>
        <v>No</v>
      </c>
      <c r="N190"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Yes</v>
      </c>
    </row>
    <row r="191" spans="1:14" x14ac:dyDescent="0.3">
      <c r="A191" s="60">
        <v>177</v>
      </c>
      <c r="B191" s="76">
        <v>1400000</v>
      </c>
      <c r="C191" s="8">
        <v>11</v>
      </c>
      <c r="D191" s="8">
        <v>6</v>
      </c>
      <c r="E191" s="8">
        <v>74</v>
      </c>
      <c r="F191" s="8" t="s">
        <v>29</v>
      </c>
      <c r="G191" s="8" t="s">
        <v>30</v>
      </c>
      <c r="H191" s="8" t="s">
        <v>29</v>
      </c>
      <c r="I191" s="60">
        <f>IF(Active_Node="Root",1,
   IF(Active_Node="Left",--Data[[#This Row],[RootLeftMask]],
   IF(Active_Node="Right",1-Data[[#This Row],[RootLeftMask]],1)))</f>
        <v>1</v>
      </c>
      <c r="J191"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191"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191" s="60">
        <f>--(NOT(Data[[#This Row],[InLeft]]))</f>
        <v>1</v>
      </c>
      <c r="M191" s="60" t="str">
        <f>IF(Data[[#This Row],[InLeft]]=1, Left_Majority, Right_Majority)</f>
        <v>No</v>
      </c>
      <c r="N191"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192" spans="1:14" x14ac:dyDescent="0.3">
      <c r="A192" s="61">
        <v>178</v>
      </c>
      <c r="B192" s="76">
        <v>3000000</v>
      </c>
      <c r="C192" s="8">
        <v>16</v>
      </c>
      <c r="D192" s="8">
        <v>23</v>
      </c>
      <c r="E192" s="8">
        <v>56</v>
      </c>
      <c r="F192" s="8" t="s">
        <v>29</v>
      </c>
      <c r="G192" s="8" t="s">
        <v>31</v>
      </c>
      <c r="H192" s="8" t="s">
        <v>29</v>
      </c>
      <c r="I192" s="61">
        <f>IF(Active_Node="Root",1,
   IF(Active_Node="Left",--Data[[#This Row],[RootLeftMask]],
   IF(Active_Node="Right",1-Data[[#This Row],[RootLeftMask]],1)))</f>
        <v>1</v>
      </c>
      <c r="J192"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192"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192" s="61">
        <f>--(NOT(Data[[#This Row],[InLeft]]))</f>
        <v>1</v>
      </c>
      <c r="M192" s="61" t="str">
        <f>IF(Data[[#This Row],[InLeft]]=1, Left_Majority, Right_Majority)</f>
        <v>No</v>
      </c>
      <c r="N192"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193" spans="1:14" x14ac:dyDescent="0.3">
      <c r="A193" s="60">
        <v>179</v>
      </c>
      <c r="B193" s="76">
        <v>800000</v>
      </c>
      <c r="C193" s="8">
        <v>15</v>
      </c>
      <c r="D193" s="8">
        <v>16</v>
      </c>
      <c r="E193" s="8">
        <v>-2</v>
      </c>
      <c r="F193" s="8" t="s">
        <v>32</v>
      </c>
      <c r="G193" s="8" t="s">
        <v>34</v>
      </c>
      <c r="H193" s="8" t="s">
        <v>32</v>
      </c>
      <c r="I193" s="60">
        <f>IF(Active_Node="Root",1,
   IF(Active_Node="Left",--Data[[#This Row],[RootLeftMask]],
   IF(Active_Node="Right",1-Data[[#This Row],[RootLeftMask]],1)))</f>
        <v>1</v>
      </c>
      <c r="J193"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1</v>
      </c>
      <c r="K193"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1</v>
      </c>
      <c r="L193" s="60">
        <f>--(NOT(Data[[#This Row],[InLeft]]))</f>
        <v>0</v>
      </c>
      <c r="M193" s="60" t="str">
        <f>IF(Data[[#This Row],[InLeft]]=1, Left_Majority, Right_Majority)</f>
        <v>Yes</v>
      </c>
      <c r="N193"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194" spans="1:14" x14ac:dyDescent="0.3">
      <c r="A194" s="61">
        <v>180</v>
      </c>
      <c r="B194" s="76">
        <v>500000</v>
      </c>
      <c r="C194" s="8">
        <v>9</v>
      </c>
      <c r="D194" s="8">
        <v>23</v>
      </c>
      <c r="E194" s="8">
        <v>88</v>
      </c>
      <c r="F194" s="8" t="s">
        <v>32</v>
      </c>
      <c r="G194" s="8" t="s">
        <v>33</v>
      </c>
      <c r="H194" s="8" t="s">
        <v>32</v>
      </c>
      <c r="I194" s="61">
        <f>IF(Active_Node="Root",1,
   IF(Active_Node="Left",--Data[[#This Row],[RootLeftMask]],
   IF(Active_Node="Right",1-Data[[#This Row],[RootLeftMask]],1)))</f>
        <v>1</v>
      </c>
      <c r="J194"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1</v>
      </c>
      <c r="K194"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1</v>
      </c>
      <c r="L194" s="61">
        <f>--(NOT(Data[[#This Row],[InLeft]]))</f>
        <v>0</v>
      </c>
      <c r="M194" s="61" t="str">
        <f>IF(Data[[#This Row],[InLeft]]=1, Left_Majority, Right_Majority)</f>
        <v>Yes</v>
      </c>
      <c r="N194"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Yes</v>
      </c>
    </row>
    <row r="195" spans="1:14" x14ac:dyDescent="0.3">
      <c r="A195" s="60">
        <v>181</v>
      </c>
      <c r="B195" s="76">
        <v>700000</v>
      </c>
      <c r="C195" s="8">
        <v>8</v>
      </c>
      <c r="D195" s="8">
        <v>21</v>
      </c>
      <c r="E195" s="8">
        <v>5</v>
      </c>
      <c r="F195" s="8" t="s">
        <v>29</v>
      </c>
      <c r="G195" s="8" t="s">
        <v>30</v>
      </c>
      <c r="H195" s="8" t="s">
        <v>32</v>
      </c>
      <c r="I195" s="60">
        <f>IF(Active_Node="Root",1,
   IF(Active_Node="Left",--Data[[#This Row],[RootLeftMask]],
   IF(Active_Node="Right",1-Data[[#This Row],[RootLeftMask]],1)))</f>
        <v>1</v>
      </c>
      <c r="J195"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195"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195" s="60">
        <f>--(NOT(Data[[#This Row],[InLeft]]))</f>
        <v>1</v>
      </c>
      <c r="M195" s="60" t="str">
        <f>IF(Data[[#This Row],[InLeft]]=1, Left_Majority, Right_Majority)</f>
        <v>No</v>
      </c>
      <c r="N195"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Yes</v>
      </c>
    </row>
    <row r="196" spans="1:14" x14ac:dyDescent="0.3">
      <c r="A196" s="61">
        <v>182</v>
      </c>
      <c r="B196" s="76">
        <v>800000</v>
      </c>
      <c r="C196" s="8">
        <v>12</v>
      </c>
      <c r="D196" s="8">
        <v>15</v>
      </c>
      <c r="E196" s="8">
        <v>2</v>
      </c>
      <c r="F196" s="8" t="s">
        <v>29</v>
      </c>
      <c r="G196" s="8" t="s">
        <v>34</v>
      </c>
      <c r="H196" s="8" t="s">
        <v>29</v>
      </c>
      <c r="I196" s="61">
        <f>IF(Active_Node="Root",1,
   IF(Active_Node="Left",--Data[[#This Row],[RootLeftMask]],
   IF(Active_Node="Right",1-Data[[#This Row],[RootLeftMask]],1)))</f>
        <v>1</v>
      </c>
      <c r="J196"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196"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196" s="61">
        <f>--(NOT(Data[[#This Row],[InLeft]]))</f>
        <v>1</v>
      </c>
      <c r="M196" s="61" t="str">
        <f>IF(Data[[#This Row],[InLeft]]=1, Left_Majority, Right_Majority)</f>
        <v>No</v>
      </c>
      <c r="N196"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197" spans="1:14" x14ac:dyDescent="0.3">
      <c r="A197" s="60">
        <v>183</v>
      </c>
      <c r="B197" s="76">
        <v>600000</v>
      </c>
      <c r="C197" s="8">
        <v>11</v>
      </c>
      <c r="D197" s="8">
        <v>24</v>
      </c>
      <c r="E197" s="8">
        <v>22</v>
      </c>
      <c r="F197" s="8" t="s">
        <v>32</v>
      </c>
      <c r="G197" s="8" t="s">
        <v>30</v>
      </c>
      <c r="H197" s="8" t="s">
        <v>32</v>
      </c>
      <c r="I197" s="60">
        <f>IF(Active_Node="Root",1,
   IF(Active_Node="Left",--Data[[#This Row],[RootLeftMask]],
   IF(Active_Node="Right",1-Data[[#This Row],[RootLeftMask]],1)))</f>
        <v>1</v>
      </c>
      <c r="J197"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1</v>
      </c>
      <c r="K197"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1</v>
      </c>
      <c r="L197" s="60">
        <f>--(NOT(Data[[#This Row],[InLeft]]))</f>
        <v>0</v>
      </c>
      <c r="M197" s="60" t="str">
        <f>IF(Data[[#This Row],[InLeft]]=1, Left_Majority, Right_Majority)</f>
        <v>Yes</v>
      </c>
      <c r="N197"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Yes</v>
      </c>
    </row>
    <row r="198" spans="1:14" x14ac:dyDescent="0.3">
      <c r="A198" s="61">
        <v>184</v>
      </c>
      <c r="B198" s="76">
        <v>2500000</v>
      </c>
      <c r="C198" s="8">
        <v>10</v>
      </c>
      <c r="D198" s="8">
        <v>20</v>
      </c>
      <c r="E198" s="8">
        <v>83</v>
      </c>
      <c r="F198" s="8" t="s">
        <v>29</v>
      </c>
      <c r="G198" s="8" t="s">
        <v>31</v>
      </c>
      <c r="H198" s="8" t="s">
        <v>29</v>
      </c>
      <c r="I198" s="61">
        <f>IF(Active_Node="Root",1,
   IF(Active_Node="Left",--Data[[#This Row],[RootLeftMask]],
   IF(Active_Node="Right",1-Data[[#This Row],[RootLeftMask]],1)))</f>
        <v>1</v>
      </c>
      <c r="J198"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198"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198" s="61">
        <f>--(NOT(Data[[#This Row],[InLeft]]))</f>
        <v>1</v>
      </c>
      <c r="M198" s="61" t="str">
        <f>IF(Data[[#This Row],[InLeft]]=1, Left_Majority, Right_Majority)</f>
        <v>No</v>
      </c>
      <c r="N198"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199" spans="1:14" x14ac:dyDescent="0.3">
      <c r="A199" s="60">
        <v>185</v>
      </c>
      <c r="B199" s="76">
        <v>2800000</v>
      </c>
      <c r="C199" s="8">
        <v>8</v>
      </c>
      <c r="D199" s="8">
        <v>29</v>
      </c>
      <c r="E199" s="8">
        <v>22</v>
      </c>
      <c r="F199" s="8" t="s">
        <v>29</v>
      </c>
      <c r="G199" s="8" t="s">
        <v>31</v>
      </c>
      <c r="H199" s="8" t="s">
        <v>29</v>
      </c>
      <c r="I199" s="60">
        <f>IF(Active_Node="Root",1,
   IF(Active_Node="Left",--Data[[#This Row],[RootLeftMask]],
   IF(Active_Node="Right",1-Data[[#This Row],[RootLeftMask]],1)))</f>
        <v>1</v>
      </c>
      <c r="J199"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199"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199" s="60">
        <f>--(NOT(Data[[#This Row],[InLeft]]))</f>
        <v>1</v>
      </c>
      <c r="M199" s="60" t="str">
        <f>IF(Data[[#This Row],[InLeft]]=1, Left_Majority, Right_Majority)</f>
        <v>No</v>
      </c>
      <c r="N199"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200" spans="1:14" x14ac:dyDescent="0.3">
      <c r="A200" s="61">
        <v>186</v>
      </c>
      <c r="B200" s="76">
        <v>2200000</v>
      </c>
      <c r="C200" s="8">
        <v>6</v>
      </c>
      <c r="D200" s="8">
        <v>6</v>
      </c>
      <c r="E200" s="8">
        <v>75</v>
      </c>
      <c r="F200" s="8" t="s">
        <v>29</v>
      </c>
      <c r="G200" s="8" t="s">
        <v>33</v>
      </c>
      <c r="H200" s="8" t="s">
        <v>29</v>
      </c>
      <c r="I200" s="61">
        <f>IF(Active_Node="Root",1,
   IF(Active_Node="Left",--Data[[#This Row],[RootLeftMask]],
   IF(Active_Node="Right",1-Data[[#This Row],[RootLeftMask]],1)))</f>
        <v>1</v>
      </c>
      <c r="J200"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200"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200" s="61">
        <f>--(NOT(Data[[#This Row],[InLeft]]))</f>
        <v>1</v>
      </c>
      <c r="M200" s="61" t="str">
        <f>IF(Data[[#This Row],[InLeft]]=1, Left_Majority, Right_Majority)</f>
        <v>No</v>
      </c>
      <c r="N200"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201" spans="1:14" x14ac:dyDescent="0.3">
      <c r="A201" s="60">
        <v>187</v>
      </c>
      <c r="B201" s="76">
        <v>800000</v>
      </c>
      <c r="C201" s="8">
        <v>11</v>
      </c>
      <c r="D201" s="8">
        <v>22</v>
      </c>
      <c r="E201" s="8">
        <v>77</v>
      </c>
      <c r="F201" s="8" t="s">
        <v>29</v>
      </c>
      <c r="G201" s="8" t="s">
        <v>31</v>
      </c>
      <c r="H201" s="8" t="s">
        <v>29</v>
      </c>
      <c r="I201" s="60">
        <f>IF(Active_Node="Root",1,
   IF(Active_Node="Left",--Data[[#This Row],[RootLeftMask]],
   IF(Active_Node="Right",1-Data[[#This Row],[RootLeftMask]],1)))</f>
        <v>1</v>
      </c>
      <c r="J201"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201"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201" s="60">
        <f>--(NOT(Data[[#This Row],[InLeft]]))</f>
        <v>1</v>
      </c>
      <c r="M201" s="60" t="str">
        <f>IF(Data[[#This Row],[InLeft]]=1, Left_Majority, Right_Majority)</f>
        <v>No</v>
      </c>
      <c r="N201"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202" spans="1:14" x14ac:dyDescent="0.3">
      <c r="A202" s="61">
        <v>188</v>
      </c>
      <c r="B202" s="76">
        <v>2900000</v>
      </c>
      <c r="C202" s="8">
        <v>7</v>
      </c>
      <c r="D202" s="8">
        <v>28</v>
      </c>
      <c r="E202" s="8">
        <v>75</v>
      </c>
      <c r="F202" s="8" t="s">
        <v>29</v>
      </c>
      <c r="G202" s="8" t="s">
        <v>34</v>
      </c>
      <c r="H202" s="8" t="s">
        <v>29</v>
      </c>
      <c r="I202" s="61">
        <f>IF(Active_Node="Root",1,
   IF(Active_Node="Left",--Data[[#This Row],[RootLeftMask]],
   IF(Active_Node="Right",1-Data[[#This Row],[RootLeftMask]],1)))</f>
        <v>1</v>
      </c>
      <c r="J202"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202"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202" s="61">
        <f>--(NOT(Data[[#This Row],[InLeft]]))</f>
        <v>1</v>
      </c>
      <c r="M202" s="61" t="str">
        <f>IF(Data[[#This Row],[InLeft]]=1, Left_Majority, Right_Majority)</f>
        <v>No</v>
      </c>
      <c r="N202"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203" spans="1:14" x14ac:dyDescent="0.3">
      <c r="A203" s="60">
        <v>189</v>
      </c>
      <c r="B203" s="76">
        <v>900000</v>
      </c>
      <c r="C203" s="8">
        <v>8</v>
      </c>
      <c r="D203" s="8">
        <v>13</v>
      </c>
      <c r="E203" s="8">
        <v>103</v>
      </c>
      <c r="F203" s="8" t="s">
        <v>29</v>
      </c>
      <c r="G203" s="8" t="s">
        <v>30</v>
      </c>
      <c r="H203" s="8" t="s">
        <v>29</v>
      </c>
      <c r="I203" s="60">
        <f>IF(Active_Node="Root",1,
   IF(Active_Node="Left",--Data[[#This Row],[RootLeftMask]],
   IF(Active_Node="Right",1-Data[[#This Row],[RootLeftMask]],1)))</f>
        <v>1</v>
      </c>
      <c r="J203"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203"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203" s="60">
        <f>--(NOT(Data[[#This Row],[InLeft]]))</f>
        <v>1</v>
      </c>
      <c r="M203" s="60" t="str">
        <f>IF(Data[[#This Row],[InLeft]]=1, Left_Majority, Right_Majority)</f>
        <v>No</v>
      </c>
      <c r="N203"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204" spans="1:14" x14ac:dyDescent="0.3">
      <c r="A204" s="61">
        <v>190</v>
      </c>
      <c r="B204" s="76">
        <v>1600000</v>
      </c>
      <c r="C204" s="8">
        <v>9</v>
      </c>
      <c r="D204" s="8">
        <v>12</v>
      </c>
      <c r="E204" s="8">
        <v>76</v>
      </c>
      <c r="F204" s="8" t="s">
        <v>29</v>
      </c>
      <c r="G204" s="8" t="s">
        <v>33</v>
      </c>
      <c r="H204" s="8" t="s">
        <v>29</v>
      </c>
      <c r="I204" s="61">
        <f>IF(Active_Node="Root",1,
   IF(Active_Node="Left",--Data[[#This Row],[RootLeftMask]],
   IF(Active_Node="Right",1-Data[[#This Row],[RootLeftMask]],1)))</f>
        <v>1</v>
      </c>
      <c r="J204"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204"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204" s="61">
        <f>--(NOT(Data[[#This Row],[InLeft]]))</f>
        <v>1</v>
      </c>
      <c r="M204" s="61" t="str">
        <f>IF(Data[[#This Row],[InLeft]]=1, Left_Majority, Right_Majority)</f>
        <v>No</v>
      </c>
      <c r="N204"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205" spans="1:14" x14ac:dyDescent="0.3">
      <c r="A205" s="60">
        <v>191</v>
      </c>
      <c r="B205" s="76">
        <v>1400000</v>
      </c>
      <c r="C205" s="8">
        <v>9</v>
      </c>
      <c r="D205" s="8">
        <v>21</v>
      </c>
      <c r="E205" s="8">
        <v>46</v>
      </c>
      <c r="F205" s="8" t="s">
        <v>29</v>
      </c>
      <c r="G205" s="8" t="s">
        <v>33</v>
      </c>
      <c r="H205" s="8" t="s">
        <v>29</v>
      </c>
      <c r="I205" s="60">
        <f>IF(Active_Node="Root",1,
   IF(Active_Node="Left",--Data[[#This Row],[RootLeftMask]],
   IF(Active_Node="Right",1-Data[[#This Row],[RootLeftMask]],1)))</f>
        <v>1</v>
      </c>
      <c r="J205"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205"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205" s="60">
        <f>--(NOT(Data[[#This Row],[InLeft]]))</f>
        <v>1</v>
      </c>
      <c r="M205" s="60" t="str">
        <f>IF(Data[[#This Row],[InLeft]]=1, Left_Majority, Right_Majority)</f>
        <v>No</v>
      </c>
      <c r="N205"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206" spans="1:14" x14ac:dyDescent="0.3">
      <c r="A206" s="61">
        <v>192</v>
      </c>
      <c r="B206" s="76">
        <v>300000</v>
      </c>
      <c r="C206" s="8">
        <v>10</v>
      </c>
      <c r="D206" s="8">
        <v>8</v>
      </c>
      <c r="E206" s="8">
        <v>26</v>
      </c>
      <c r="F206" s="8" t="s">
        <v>29</v>
      </c>
      <c r="G206" s="8" t="s">
        <v>33</v>
      </c>
      <c r="H206" s="8" t="s">
        <v>29</v>
      </c>
      <c r="I206" s="61">
        <f>IF(Active_Node="Root",1,
   IF(Active_Node="Left",--Data[[#This Row],[RootLeftMask]],
   IF(Active_Node="Right",1-Data[[#This Row],[RootLeftMask]],1)))</f>
        <v>1</v>
      </c>
      <c r="J206"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206"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206" s="61">
        <f>--(NOT(Data[[#This Row],[InLeft]]))</f>
        <v>1</v>
      </c>
      <c r="M206" s="61" t="str">
        <f>IF(Data[[#This Row],[InLeft]]=1, Left_Majority, Right_Majority)</f>
        <v>No</v>
      </c>
      <c r="N206"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Yes</v>
      </c>
    </row>
    <row r="207" spans="1:14" x14ac:dyDescent="0.3">
      <c r="A207" s="60">
        <v>193</v>
      </c>
      <c r="B207" s="76">
        <v>2600000</v>
      </c>
      <c r="C207" s="8">
        <v>7</v>
      </c>
      <c r="D207" s="8">
        <v>24</v>
      </c>
      <c r="E207" s="8">
        <v>104</v>
      </c>
      <c r="F207" s="8" t="s">
        <v>29</v>
      </c>
      <c r="G207" s="8" t="s">
        <v>33</v>
      </c>
      <c r="H207" s="8" t="s">
        <v>29</v>
      </c>
      <c r="I207" s="60">
        <f>IF(Active_Node="Root",1,
   IF(Active_Node="Left",--Data[[#This Row],[RootLeftMask]],
   IF(Active_Node="Right",1-Data[[#This Row],[RootLeftMask]],1)))</f>
        <v>1</v>
      </c>
      <c r="J207"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207"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207" s="60">
        <f>--(NOT(Data[[#This Row],[InLeft]]))</f>
        <v>1</v>
      </c>
      <c r="M207" s="60" t="str">
        <f>IF(Data[[#This Row],[InLeft]]=1, Left_Majority, Right_Majority)</f>
        <v>No</v>
      </c>
      <c r="N207"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208" spans="1:14" x14ac:dyDescent="0.3">
      <c r="A208" s="61">
        <v>194</v>
      </c>
      <c r="B208" s="76">
        <v>2300000</v>
      </c>
      <c r="C208" s="8">
        <v>10</v>
      </c>
      <c r="D208" s="8">
        <v>6</v>
      </c>
      <c r="E208" s="8">
        <v>77</v>
      </c>
      <c r="F208" s="8" t="s">
        <v>29</v>
      </c>
      <c r="G208" s="8" t="s">
        <v>31</v>
      </c>
      <c r="H208" s="8" t="s">
        <v>29</v>
      </c>
      <c r="I208" s="61">
        <f>IF(Active_Node="Root",1,
   IF(Active_Node="Left",--Data[[#This Row],[RootLeftMask]],
   IF(Active_Node="Right",1-Data[[#This Row],[RootLeftMask]],1)))</f>
        <v>1</v>
      </c>
      <c r="J208"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208"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208" s="61">
        <f>--(NOT(Data[[#This Row],[InLeft]]))</f>
        <v>1</v>
      </c>
      <c r="M208" s="61" t="str">
        <f>IF(Data[[#This Row],[InLeft]]=1, Left_Majority, Right_Majority)</f>
        <v>No</v>
      </c>
      <c r="N208"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209" spans="1:14" x14ac:dyDescent="0.3">
      <c r="A209" s="60">
        <v>195</v>
      </c>
      <c r="B209" s="76">
        <v>500000</v>
      </c>
      <c r="C209" s="8">
        <v>23</v>
      </c>
      <c r="D209" s="8">
        <v>3</v>
      </c>
      <c r="E209" s="8">
        <v>41</v>
      </c>
      <c r="F209" s="8" t="s">
        <v>32</v>
      </c>
      <c r="G209" s="8" t="s">
        <v>33</v>
      </c>
      <c r="H209" s="8" t="s">
        <v>32</v>
      </c>
      <c r="I209" s="60">
        <f>IF(Active_Node="Root",1,
   IF(Active_Node="Left",--Data[[#This Row],[RootLeftMask]],
   IF(Active_Node="Right",1-Data[[#This Row],[RootLeftMask]],1)))</f>
        <v>1</v>
      </c>
      <c r="J209"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1</v>
      </c>
      <c r="K209"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1</v>
      </c>
      <c r="L209" s="60">
        <f>--(NOT(Data[[#This Row],[InLeft]]))</f>
        <v>0</v>
      </c>
      <c r="M209" s="60" t="str">
        <f>IF(Data[[#This Row],[InLeft]]=1, Left_Majority, Right_Majority)</f>
        <v>Yes</v>
      </c>
      <c r="N209"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210" spans="1:14" x14ac:dyDescent="0.3">
      <c r="A210" s="61">
        <v>196</v>
      </c>
      <c r="B210" s="76">
        <v>1400000</v>
      </c>
      <c r="C210" s="8">
        <v>6</v>
      </c>
      <c r="D210" s="8">
        <v>21</v>
      </c>
      <c r="E210" s="8">
        <v>2</v>
      </c>
      <c r="F210" s="8" t="s">
        <v>29</v>
      </c>
      <c r="G210" s="8" t="s">
        <v>30</v>
      </c>
      <c r="H210" s="8" t="s">
        <v>29</v>
      </c>
      <c r="I210" s="61">
        <f>IF(Active_Node="Root",1,
   IF(Active_Node="Left",--Data[[#This Row],[RootLeftMask]],
   IF(Active_Node="Right",1-Data[[#This Row],[RootLeftMask]],1)))</f>
        <v>1</v>
      </c>
      <c r="J210"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210"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210" s="61">
        <f>--(NOT(Data[[#This Row],[InLeft]]))</f>
        <v>1</v>
      </c>
      <c r="M210" s="61" t="str">
        <f>IF(Data[[#This Row],[InLeft]]=1, Left_Majority, Right_Majority)</f>
        <v>No</v>
      </c>
      <c r="N210"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211" spans="1:14" x14ac:dyDescent="0.3">
      <c r="A211" s="60">
        <v>197</v>
      </c>
      <c r="B211" s="76">
        <v>400000</v>
      </c>
      <c r="C211" s="8">
        <v>6</v>
      </c>
      <c r="D211" s="8">
        <v>24</v>
      </c>
      <c r="E211" s="8">
        <v>40</v>
      </c>
      <c r="F211" s="8" t="s">
        <v>29</v>
      </c>
      <c r="G211" s="8" t="s">
        <v>31</v>
      </c>
      <c r="H211" s="8" t="s">
        <v>32</v>
      </c>
      <c r="I211" s="60">
        <f>IF(Active_Node="Root",1,
   IF(Active_Node="Left",--Data[[#This Row],[RootLeftMask]],
   IF(Active_Node="Right",1-Data[[#This Row],[RootLeftMask]],1)))</f>
        <v>1</v>
      </c>
      <c r="J211"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211"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211" s="60">
        <f>--(NOT(Data[[#This Row],[InLeft]]))</f>
        <v>1</v>
      </c>
      <c r="M211" s="60" t="str">
        <f>IF(Data[[#This Row],[InLeft]]=1, Left_Majority, Right_Majority)</f>
        <v>No</v>
      </c>
      <c r="N211"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Yes</v>
      </c>
    </row>
    <row r="212" spans="1:14" x14ac:dyDescent="0.3">
      <c r="A212" s="61">
        <v>198</v>
      </c>
      <c r="B212" s="76">
        <v>1500000</v>
      </c>
      <c r="C212" s="8">
        <v>14</v>
      </c>
      <c r="D212" s="8">
        <v>3</v>
      </c>
      <c r="E212" s="8">
        <v>110</v>
      </c>
      <c r="F212" s="8" t="s">
        <v>29</v>
      </c>
      <c r="G212" s="8" t="s">
        <v>31</v>
      </c>
      <c r="H212" s="8" t="s">
        <v>29</v>
      </c>
      <c r="I212" s="61">
        <f>IF(Active_Node="Root",1,
   IF(Active_Node="Left",--Data[[#This Row],[RootLeftMask]],
   IF(Active_Node="Right",1-Data[[#This Row],[RootLeftMask]],1)))</f>
        <v>1</v>
      </c>
      <c r="J212"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212"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212" s="61">
        <f>--(NOT(Data[[#This Row],[InLeft]]))</f>
        <v>1</v>
      </c>
      <c r="M212" s="61" t="str">
        <f>IF(Data[[#This Row],[InLeft]]=1, Left_Majority, Right_Majority)</f>
        <v>No</v>
      </c>
      <c r="N212"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row r="213" spans="1:14" x14ac:dyDescent="0.3">
      <c r="A213" s="60">
        <v>199</v>
      </c>
      <c r="B213" s="76">
        <v>2300000</v>
      </c>
      <c r="C213" s="8">
        <v>9</v>
      </c>
      <c r="D213" s="8">
        <v>24</v>
      </c>
      <c r="E213" s="8">
        <v>1</v>
      </c>
      <c r="F213" s="8" t="s">
        <v>32</v>
      </c>
      <c r="G213" s="8" t="s">
        <v>33</v>
      </c>
      <c r="H213" s="8" t="s">
        <v>32</v>
      </c>
      <c r="I213" s="60">
        <f>IF(Active_Node="Root",1,
   IF(Active_Node="Left",--Data[[#This Row],[RootLeftMask]],
   IF(Active_Node="Right",1-Data[[#This Row],[RootLeftMask]],1)))</f>
        <v>1</v>
      </c>
      <c r="J213" s="60">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1</v>
      </c>
      <c r="K213" s="60">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1</v>
      </c>
      <c r="L213" s="60">
        <f>--(NOT(Data[[#This Row],[InLeft]]))</f>
        <v>0</v>
      </c>
      <c r="M213" s="60" t="str">
        <f>IF(Data[[#This Row],[InLeft]]=1, Left_Majority, Right_Majority)</f>
        <v>Yes</v>
      </c>
      <c r="N213" s="60"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Yes</v>
      </c>
    </row>
    <row r="214" spans="1:14" x14ac:dyDescent="0.3">
      <c r="A214" s="61">
        <v>200</v>
      </c>
      <c r="B214" s="76">
        <v>2800000</v>
      </c>
      <c r="C214" s="8">
        <v>16</v>
      </c>
      <c r="D214" s="8">
        <v>29</v>
      </c>
      <c r="E214" s="8">
        <v>-7</v>
      </c>
      <c r="F214" s="8" t="s">
        <v>29</v>
      </c>
      <c r="G214" s="8" t="s">
        <v>30</v>
      </c>
      <c r="H214" s="8" t="s">
        <v>29</v>
      </c>
      <c r="I214" s="61">
        <f>IF(Active_Node="Root",1,
   IF(Active_Node="Left",--Data[[#This Row],[RootLeftMask]],
   IF(Active_Node="Right",1-Data[[#This Row],[RootLeftMask]],1)))</f>
        <v>1</v>
      </c>
      <c r="J214" s="61">
        <f>--(IF(root_pred="Budget",              Data[[#This Row],[Budget]]              &lt;= VALUE(root_thresh),
 IF(root_pred="Planned Duration", Data[[#This Row],[Planned Duration (months)]] &lt;= VALUE(root_thresh),
 IF(root_pred="Team Size",           Data[[#This Row],[Team Size ('# FTE)]]           &lt;= VALUE(root_thresh),
 IF(root_pred="Schedule Overage",  Data[[#This Row],[Schedule Overage (days)]]  &lt;= VALUE(root_thresh),
 IF(root_pred="Key Staff Turnover",      Data[[#This Row],[Key Staff Turnover]]      =  root_thresh,
 IF(root_pred="Project Type",            Data[[#This Row],[Project Type]]            =  root_thresh,
 FALSE)))))))</f>
        <v>0</v>
      </c>
      <c r="K214" s="61">
        <f xml:space="preserve"> --(IF(Best_Predictor="Budget",Data[[#This Row],[Budget]]&lt;= Best_Threshold,
   IF(Best_Predictor="Planned Duration",Data[[#This Row],[Planned Duration (months)]]&lt;= Best_Threshold,
   IF(Best_Predictor="Team Size",Data[[#This Row],[Team Size ('# FTE)]]&lt;=Decisions!$B$5,
   IF(Best_Predictor="Schedule Overage",Data[[#This Row],[Schedule Overage (days)]]&lt;= Best_Threshold,
   IF(Best_Predictor="Key Staff Turnover",Data[[#This Row],[Key Staff Turnover]]= Best_Threshold,
   IF(Best_Predictor="Project Type",Data[[#This Row],[Project Type]]= Best_Threshold,FALSE)))))))</f>
        <v>0</v>
      </c>
      <c r="L214" s="61">
        <f>--(NOT(Data[[#This Row],[InLeft]]))</f>
        <v>1</v>
      </c>
      <c r="M214" s="61" t="str">
        <f>IF(Data[[#This Row],[InLeft]]=1, Left_Majority, Right_Majority)</f>
        <v>No</v>
      </c>
      <c r="N214" s="61" t="str">
        <f>IF((IF(root_pred="Budget", Data[[#This Row],[Budget]]&lt;=root_thresh,IF(root_pred="Planned Duration", Data[[#This Row],[Planned Duration (months)]]&lt;=root_thresh,IF(root_pred="Team Size FTE", Data[[#This Row],[Team Size ('# FTE)]]&lt;=root_thresh,IF(root_pred="Schedule Overage", Data[[#This Row],[Schedule Overage (days)]]&lt;=root_thresh,IF(root_pred="Key Staff Turnover", Data[[#This Row],[Key Staff Turnover]]=root_thresh,IF(root_pred="Project Type", Data[[#This Row],[Project Type]]=root_thresh, FALSE))))))),IF(left_pred="",Decisions!$J$8, IF(IF(left_pred="Budget", Data[[#This Row],[Budget]]&lt;=left_thresh,IF(left_pred="Planned Duration", Data[[#This Row],[Planned Duration (months)]]&lt;=left_thresh,IF(left_pred="Team Size", Data[[#This Row],[Team Size ('# FTE)]]&lt;=left_thresh,IF(left_pred="Schedule Overage", Data[[#This Row],[Schedule Overage (days)]]&lt;=left_thresh,IF(left_pred="Key Staff Turnover", Data[[#This Row],[Key Staff Turnover]]=left_thresh,IF(left_pred="Project Type", Data[[#This Row],[Project Type]]=left_thresh, FALSE)))))), Decisions!$J$11, Decisions!$J$12)),IF(right_pred="", Decisions!$J$9, IF(IF(right_pred="Budget", Data[[#This Row],[Budget]]&lt;=right_thresh,IF(right_pred="Planned Duration", Data[[#This Row],[Planned Duration (months)]]&lt;=right_thresh,IF(right_pred="Team Size", Data[[#This Row],[Team Size ('# FTE)]]&lt;=right_thresh,IF(right_pred="Schedule Overage", Data[[#This Row],[Schedule Overage (days)]]&lt;=right_thresh,IF(right_pred="Key Staff Turnover", Data[[#This Row],[Key Staff Turnover]]=right_thresh,IF(right_pred="Project Type", Data[[#This Row],[Project Type]]=right_thresh, FALSE)))))), Decisions!$J$14, Decisions!$J$15)))</f>
        <v>No</v>
      </c>
    </row>
  </sheetData>
  <mergeCells count="10">
    <mergeCell ref="A13:N13"/>
    <mergeCell ref="A1:N1"/>
    <mergeCell ref="D2:N2"/>
    <mergeCell ref="A12:N12"/>
    <mergeCell ref="B5:B9"/>
    <mergeCell ref="D5:M5"/>
    <mergeCell ref="D6:M6"/>
    <mergeCell ref="D7:M7"/>
    <mergeCell ref="D8:M8"/>
    <mergeCell ref="D9:M9"/>
  </mergeCells>
  <pageMargins left="0.75" right="0.75" top="1" bottom="1" header="0.5" footer="0.5"/>
  <drawing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4" tint="0.39997558519241921"/>
  </sheetPr>
  <dimension ref="A1:K69"/>
  <sheetViews>
    <sheetView showGridLines="0" zoomScaleNormal="100" workbookViewId="0">
      <selection sqref="A1:K1"/>
    </sheetView>
  </sheetViews>
  <sheetFormatPr defaultRowHeight="14.4" x14ac:dyDescent="0.3"/>
  <cols>
    <col min="1" max="1" width="22.33203125" style="8" customWidth="1"/>
    <col min="2" max="2" width="17.6640625" style="8" customWidth="1"/>
    <col min="3" max="3" width="25.33203125" style="8" customWidth="1"/>
    <col min="4" max="4" width="21.44140625" style="8" customWidth="1"/>
    <col min="5" max="5" width="26.33203125" style="8" customWidth="1"/>
    <col min="6" max="7" width="20" style="8" customWidth="1"/>
    <col min="8" max="11" width="17.6640625" style="8" customWidth="1"/>
  </cols>
  <sheetData>
    <row r="1" spans="1:11" ht="48" customHeight="1" thickBot="1" x14ac:dyDescent="0.35">
      <c r="A1" s="129" t="s">
        <v>7</v>
      </c>
      <c r="B1" s="130"/>
      <c r="C1" s="130"/>
      <c r="D1" s="130"/>
      <c r="E1" s="130"/>
      <c r="F1" s="130"/>
      <c r="G1" s="130"/>
      <c r="H1" s="130"/>
      <c r="I1" s="130"/>
      <c r="J1" s="130"/>
      <c r="K1" s="131"/>
    </row>
    <row r="2" spans="1:11" ht="68.400000000000006" customHeight="1" thickBot="1" x14ac:dyDescent="0.35">
      <c r="A2" s="3"/>
      <c r="B2" s="4"/>
      <c r="C2" s="105" t="s">
        <v>35</v>
      </c>
      <c r="D2" s="105"/>
      <c r="E2" s="105"/>
      <c r="F2" s="105"/>
      <c r="G2" s="105"/>
      <c r="H2" s="105"/>
      <c r="I2" s="105"/>
      <c r="J2" s="105"/>
      <c r="K2" s="106"/>
    </row>
    <row r="3" spans="1:11" ht="15" thickBot="1" x14ac:dyDescent="0.35"/>
    <row r="4" spans="1:11" ht="20.399999999999999" customHeight="1" thickBot="1" x14ac:dyDescent="0.35">
      <c r="A4" s="34" t="s">
        <v>36</v>
      </c>
      <c r="B4" s="91" t="str">
        <f>Active_Node</f>
        <v>Root</v>
      </c>
      <c r="C4" s="127" t="s">
        <v>37</v>
      </c>
      <c r="D4" s="128"/>
      <c r="E4" s="128"/>
    </row>
    <row r="5" spans="1:11" ht="20.399999999999999" customHeight="1" thickBot="1" x14ac:dyDescent="0.35"/>
    <row r="6" spans="1:11" ht="18.600000000000001" thickBot="1" x14ac:dyDescent="0.35">
      <c r="A6" s="126" t="s">
        <v>38</v>
      </c>
      <c r="B6" s="113"/>
      <c r="J6" s="2"/>
    </row>
    <row r="7" spans="1:11" ht="31.2" customHeight="1" x14ac:dyDescent="0.3">
      <c r="A7" s="14" t="s">
        <v>39</v>
      </c>
      <c r="B7" s="15">
        <f>SUM(Data[InNode])</f>
        <v>200</v>
      </c>
      <c r="D7" s="27" t="s">
        <v>40</v>
      </c>
      <c r="E7" s="28" t="s">
        <v>41</v>
      </c>
      <c r="F7" s="28" t="s">
        <v>42</v>
      </c>
      <c r="G7" s="29" t="s">
        <v>43</v>
      </c>
    </row>
    <row r="8" spans="1:11" ht="43.8" thickBot="1" x14ac:dyDescent="0.35">
      <c r="A8" s="16" t="s">
        <v>44</v>
      </c>
      <c r="B8" s="17">
        <f>COUNTIFS(Data[InNode],1,Data[Canceled],"Yes")</f>
        <v>75</v>
      </c>
      <c r="D8" s="30">
        <f>MAX(Candidates[Gain])</f>
        <v>7.748923811770253E-2</v>
      </c>
      <c r="E8" s="31" t="str">
        <f>_xlfn.XLOOKUP(D8,Candidates[Gain],Candidates[Predictor])</f>
        <v>Key Staff Turnover</v>
      </c>
      <c r="F8" s="31" t="str">
        <f>_xlfn.XLOOKUP(D8,Candidates[Gain],Candidates[Specification])</f>
        <v>"=Yes"</v>
      </c>
      <c r="G8" s="32" t="str">
        <f>_xlfn.XLOOKUP(D8,Candidates[Gain],Candidates[Threshold/Category])</f>
        <v>Yes</v>
      </c>
    </row>
    <row r="9" spans="1:11" ht="43.8" thickBot="1" x14ac:dyDescent="0.35">
      <c r="A9" s="18" t="s">
        <v>45</v>
      </c>
      <c r="B9" s="19">
        <f>_xlfn.LET(_xlpm.n,B7,_xlpm.y,B8,IF(_xlpm.n=0,0,1-(_xlpm.y/_xlpm.n)^2-((_xlpm.n-_xlpm.y)/_xlpm.n)^2))</f>
        <v>0.46875</v>
      </c>
      <c r="C9" s="10"/>
      <c r="D9" s="1"/>
      <c r="H9"/>
      <c r="I9" s="13"/>
    </row>
    <row r="11" spans="1:11" ht="15" thickBot="1" x14ac:dyDescent="0.35"/>
    <row r="12" spans="1:11" ht="18.600000000000001" thickBot="1" x14ac:dyDescent="0.35">
      <c r="A12" s="132" t="s">
        <v>46</v>
      </c>
      <c r="B12" s="133"/>
      <c r="C12" s="133"/>
      <c r="D12" s="133"/>
      <c r="E12" s="134"/>
    </row>
    <row r="13" spans="1:11" s="9" customFormat="1" ht="53.4" customHeight="1" thickBot="1" x14ac:dyDescent="0.35">
      <c r="A13" s="135" t="s">
        <v>47</v>
      </c>
      <c r="B13" s="136"/>
      <c r="C13" s="136"/>
      <c r="D13" s="136"/>
      <c r="E13" s="137"/>
      <c r="F13" s="12"/>
      <c r="G13" s="12"/>
      <c r="H13" s="12"/>
      <c r="I13" s="12"/>
      <c r="J13" s="12"/>
      <c r="K13" s="12"/>
    </row>
    <row r="14" spans="1:11" ht="18" customHeight="1" x14ac:dyDescent="0.3">
      <c r="A14" s="57" t="s">
        <v>48</v>
      </c>
      <c r="B14" s="58" t="s">
        <v>49</v>
      </c>
      <c r="C14" s="58" t="s">
        <v>50</v>
      </c>
      <c r="D14" s="58" t="s">
        <v>51</v>
      </c>
      <c r="E14" s="59" t="s">
        <v>52</v>
      </c>
    </row>
    <row r="15" spans="1:11" x14ac:dyDescent="0.3">
      <c r="A15" s="21">
        <v>0.1</v>
      </c>
      <c r="B15" s="8" cm="1">
        <f t="array" ref="B15">_xlfn.PERCENTILE.INC(IF(Data[InNode]=1, Data[Budget]), Helper[[#This Row],[Percentiles]])</f>
        <v>400000</v>
      </c>
      <c r="C15" s="8" cm="1">
        <f t="array" ref="C15">_xlfn.PERCENTILE.INC(IF(Data[InNode]=1, Data[Planned Duration (months)]), Helper[[#This Row],[Percentiles]])</f>
        <v>7</v>
      </c>
      <c r="D15" s="8" cm="1">
        <f t="array" ref="D15">_xlfn.PERCENTILE.INC(IF(Data[InNode]=1, Data[Team Size ('# FTE)]), Helper[[#This Row],[Percentiles]])</f>
        <v>5</v>
      </c>
      <c r="E15" s="22" cm="1">
        <f t="array" ref="E15">_xlfn.PERCENTILE.INC(IF(Data[InNode]=1, Data[Schedule Overage (days)]), Helper[[#This Row],[Percentiles]])</f>
        <v>1.9000000000000021</v>
      </c>
    </row>
    <row r="16" spans="1:11" x14ac:dyDescent="0.3">
      <c r="A16" s="21">
        <v>0.2</v>
      </c>
      <c r="B16" s="8" cm="1">
        <f t="array" ref="B16">_xlfn.PERCENTILE.INC(IF(Data[InNode]=1, Data[Budget]), Helper[[#This Row],[Percentiles]])</f>
        <v>680000.00000000047</v>
      </c>
      <c r="C16" s="8" cm="1">
        <f t="array" ref="C16">_xlfn.PERCENTILE.INC(IF(Data[InNode]=1, Data[Planned Duration (months)]), Helper[[#This Row],[Percentiles]])</f>
        <v>8</v>
      </c>
      <c r="D16" s="8" cm="1">
        <f t="array" ref="D16">_xlfn.PERCENTILE.INC(IF(Data[InNode]=1, Data[Team Size ('# FTE)]), Helper[[#This Row],[Percentiles]])</f>
        <v>9</v>
      </c>
      <c r="E16" s="22" cm="1">
        <f t="array" ref="E16">_xlfn.PERCENTILE.INC(IF(Data[InNode]=1, Data[Schedule Overage (days)]), Helper[[#This Row],[Percentiles]])</f>
        <v>12</v>
      </c>
    </row>
    <row r="17" spans="1:11" x14ac:dyDescent="0.3">
      <c r="A17" s="21">
        <v>0.3</v>
      </c>
      <c r="B17" s="8" cm="1">
        <f t="array" ref="B17">_xlfn.PERCENTILE.INC(IF(Data[InNode]=1, Data[Budget]), Helper[[#This Row],[Percentiles]])</f>
        <v>900000</v>
      </c>
      <c r="C17" s="8" cm="1">
        <f t="array" ref="C17">_xlfn.PERCENTILE.INC(IF(Data[InNode]=1, Data[Planned Duration (months)]), Helper[[#This Row],[Percentiles]])</f>
        <v>9</v>
      </c>
      <c r="D17" s="8" cm="1">
        <f t="array" ref="D17">_xlfn.PERCENTILE.INC(IF(Data[InNode]=1, Data[Team Size ('# FTE)]), Helper[[#This Row],[Percentiles]])</f>
        <v>11</v>
      </c>
      <c r="E17" s="22" cm="1">
        <f t="array" ref="E17">_xlfn.PERCENTILE.INC(IF(Data[InNode]=1, Data[Schedule Overage (days)]), Helper[[#This Row],[Percentiles]])</f>
        <v>26</v>
      </c>
    </row>
    <row r="18" spans="1:11" x14ac:dyDescent="0.3">
      <c r="A18" s="21">
        <v>0.4</v>
      </c>
      <c r="B18" s="8" cm="1">
        <f t="array" ref="B18">_xlfn.PERCENTILE.INC(IF(Data[InNode]=1, Data[Budget]), Helper[[#This Row],[Percentiles]])</f>
        <v>1200000</v>
      </c>
      <c r="C18" s="8" cm="1">
        <f t="array" ref="C18">_xlfn.PERCENTILE.INC(IF(Data[InNode]=1, Data[Planned Duration (months)]), Helper[[#This Row],[Percentiles]])</f>
        <v>10</v>
      </c>
      <c r="D18" s="8" cm="1">
        <f t="array" ref="D18">_xlfn.PERCENTILE.INC(IF(Data[InNode]=1, Data[Team Size ('# FTE)]), Helper[[#This Row],[Percentiles]])</f>
        <v>14</v>
      </c>
      <c r="E18" s="22" cm="1">
        <f t="array" ref="E18">_xlfn.PERCENTILE.INC(IF(Data[InNode]=1, Data[Schedule Overage (days)]), Helper[[#This Row],[Percentiles]])</f>
        <v>45</v>
      </c>
    </row>
    <row r="19" spans="1:11" x14ac:dyDescent="0.3">
      <c r="A19" s="21">
        <v>0.5</v>
      </c>
      <c r="B19" s="8" cm="1">
        <f t="array" ref="B19">_xlfn.PERCENTILE.INC(IF(Data[InNode]=1, Data[Budget]), Helper[[#This Row],[Percentiles]])</f>
        <v>1400000</v>
      </c>
      <c r="C19" s="8" cm="1">
        <f t="array" ref="C19">_xlfn.PERCENTILE.INC(IF(Data[InNode]=1, Data[Planned Duration (months)]), Helper[[#This Row],[Percentiles]])</f>
        <v>12</v>
      </c>
      <c r="D19" s="8" cm="1">
        <f t="array" ref="D19">_xlfn.PERCENTILE.INC(IF(Data[InNode]=1, Data[Team Size ('# FTE)]), Helper[[#This Row],[Percentiles]])</f>
        <v>16</v>
      </c>
      <c r="E19" s="22" cm="1">
        <f t="array" ref="E19">_xlfn.PERCENTILE.INC(IF(Data[InNode]=1, Data[Schedule Overage (days)]), Helper[[#This Row],[Percentiles]])</f>
        <v>55.5</v>
      </c>
    </row>
    <row r="20" spans="1:11" x14ac:dyDescent="0.3">
      <c r="A20" s="21">
        <v>0.6</v>
      </c>
      <c r="B20" s="8" cm="1">
        <f t="array" ref="B20">_xlfn.PERCENTILE.INC(IF(Data[InNode]=1, Data[Budget]), Helper[[#This Row],[Percentiles]])</f>
        <v>1800000</v>
      </c>
      <c r="C20" s="8" cm="1">
        <f t="array" ref="C20">_xlfn.PERCENTILE.INC(IF(Data[InNode]=1, Data[Planned Duration (months)]), Helper[[#This Row],[Percentiles]])</f>
        <v>14</v>
      </c>
      <c r="D20" s="8" cm="1">
        <f t="array" ref="D20">_xlfn.PERCENTILE.INC(IF(Data[InNode]=1, Data[Team Size ('# FTE)]), Helper[[#This Row],[Percentiles]])</f>
        <v>20</v>
      </c>
      <c r="E20" s="22" cm="1">
        <f t="array" ref="E20">_xlfn.PERCENTILE.INC(IF(Data[InNode]=1, Data[Schedule Overage (days)]), Helper[[#This Row],[Percentiles]])</f>
        <v>71.399999999999991</v>
      </c>
    </row>
    <row r="21" spans="1:11" x14ac:dyDescent="0.3">
      <c r="A21" s="21">
        <v>0.7</v>
      </c>
      <c r="B21" s="8" cm="1">
        <f t="array" ref="B21">_xlfn.PERCENTILE.INC(IF(Data[InNode]=1, Data[Budget]), Helper[[#This Row],[Percentiles]])</f>
        <v>2200000</v>
      </c>
      <c r="C21" s="8" cm="1">
        <f t="array" ref="C21">_xlfn.PERCENTILE.INC(IF(Data[InNode]=1, Data[Planned Duration (months)]), Helper[[#This Row],[Percentiles]])</f>
        <v>16</v>
      </c>
      <c r="D21" s="8" cm="1">
        <f t="array" ref="D21">_xlfn.PERCENTILE.INC(IF(Data[InNode]=1, Data[Team Size ('# FTE)]), Helper[[#This Row],[Percentiles]])</f>
        <v>22</v>
      </c>
      <c r="E21" s="22" cm="1">
        <f t="array" ref="E21">_xlfn.PERCENTILE.INC(IF(Data[InNode]=1, Data[Schedule Overage (days)]), Helper[[#This Row],[Percentiles]])</f>
        <v>84.299999999999983</v>
      </c>
    </row>
    <row r="22" spans="1:11" x14ac:dyDescent="0.3">
      <c r="A22" s="21">
        <v>0.8</v>
      </c>
      <c r="B22" s="8" cm="1">
        <f t="array" ref="B22">_xlfn.PERCENTILE.INC(IF(Data[InNode]=1, Data[Budget]), Helper[[#This Row],[Percentiles]])</f>
        <v>2400000</v>
      </c>
      <c r="C22" s="8" cm="1">
        <f t="array" ref="C22">_xlfn.PERCENTILE.INC(IF(Data[InNode]=1, Data[Planned Duration (months)]), Helper[[#This Row],[Percentiles]])</f>
        <v>18</v>
      </c>
      <c r="D22" s="8" cm="1">
        <f t="array" ref="D22">_xlfn.PERCENTILE.INC(IF(Data[InNode]=1, Data[Team Size ('# FTE)]), Helper[[#This Row],[Percentiles]])</f>
        <v>24</v>
      </c>
      <c r="E22" s="22" cm="1">
        <f t="array" ref="E22">_xlfn.PERCENTILE.INC(IF(Data[InNode]=1, Data[Schedule Overage (days)]), Helper[[#This Row],[Percentiles]])</f>
        <v>95.200000000000017</v>
      </c>
    </row>
    <row r="23" spans="1:11" ht="15" thickBot="1" x14ac:dyDescent="0.35">
      <c r="A23" s="23">
        <v>0.9</v>
      </c>
      <c r="B23" s="24" cm="1">
        <f t="array" ref="B23">_xlfn.PERCENTILE.INC(IF(Data[InNode]=1, Data[Budget]), Helper[[#This Row],[Percentiles]])</f>
        <v>2800000</v>
      </c>
      <c r="C23" s="24" cm="1">
        <f t="array" ref="C23">_xlfn.PERCENTILE.INC(IF(Data[InNode]=1, Data[Planned Duration (months)]), Helper[[#This Row],[Percentiles]])</f>
        <v>21</v>
      </c>
      <c r="D23" s="24" cm="1">
        <f t="array" ref="D23">_xlfn.PERCENTILE.INC(IF(Data[InNode]=1, Data[Team Size ('# FTE)]), Helper[[#This Row],[Percentiles]])</f>
        <v>28</v>
      </c>
      <c r="E23" s="25" cm="1">
        <f t="array" ref="E23">_xlfn.PERCENTILE.INC(IF(Data[InNode]=1, Data[Schedule Overage (days)]), Helper[[#This Row],[Percentiles]])</f>
        <v>109.1</v>
      </c>
    </row>
    <row r="25" spans="1:11" ht="15" thickBot="1" x14ac:dyDescent="0.35"/>
    <row r="26" spans="1:11" ht="18.600000000000001" thickBot="1" x14ac:dyDescent="0.35">
      <c r="A26" s="126" t="s">
        <v>53</v>
      </c>
      <c r="B26" s="112"/>
      <c r="C26" s="112"/>
      <c r="D26" s="112"/>
      <c r="E26" s="112"/>
      <c r="F26" s="112"/>
      <c r="G26" s="112"/>
      <c r="H26" s="112"/>
      <c r="I26" s="112"/>
      <c r="J26" s="112"/>
      <c r="K26" s="113"/>
    </row>
    <row r="27" spans="1:11" s="11" customFormat="1" ht="46.95" customHeight="1" thickBot="1" x14ac:dyDescent="0.35">
      <c r="A27" s="99" t="s">
        <v>54</v>
      </c>
      <c r="B27" s="100"/>
      <c r="C27" s="100"/>
      <c r="D27" s="100"/>
      <c r="E27" s="100"/>
      <c r="F27" s="100"/>
      <c r="G27" s="100"/>
      <c r="H27" s="100"/>
      <c r="I27" s="100"/>
      <c r="J27" s="100"/>
      <c r="K27" s="101"/>
    </row>
    <row r="28" spans="1:11" ht="18" customHeight="1" x14ac:dyDescent="0.3">
      <c r="A28" s="57" t="s">
        <v>55</v>
      </c>
      <c r="B28" s="58" t="s">
        <v>56</v>
      </c>
      <c r="C28" s="58" t="s">
        <v>57</v>
      </c>
      <c r="D28" s="58" t="s">
        <v>58</v>
      </c>
      <c r="E28" s="58" t="s">
        <v>59</v>
      </c>
      <c r="F28" s="58" t="s">
        <v>60</v>
      </c>
      <c r="G28" s="58" t="s">
        <v>61</v>
      </c>
      <c r="H28" s="58" t="s">
        <v>62</v>
      </c>
      <c r="I28" s="58" t="s">
        <v>63</v>
      </c>
      <c r="J28" s="58" t="s">
        <v>64</v>
      </c>
      <c r="K28" s="59" t="s">
        <v>65</v>
      </c>
    </row>
    <row r="29" spans="1:11" x14ac:dyDescent="0.3">
      <c r="A29" s="21" t="s">
        <v>16</v>
      </c>
      <c r="B29" s="8" t="s">
        <v>66</v>
      </c>
      <c r="C29" s="8">
        <f>INDEX(Analysis!B15:B23,1)</f>
        <v>400000</v>
      </c>
      <c r="D29" s="26" cm="1">
        <f t="array" ref="D29">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f>
        <v>23</v>
      </c>
      <c r="E29" s="26" cm="1">
        <f t="array" ref="E29">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--(Data[Canceled]="Yes")
)</f>
        <v>12</v>
      </c>
      <c r="F29" s="8">
        <f>_xlfn.LET(_xlpm.n,Candidates[[#This Row],[Number Left]], _xlpm.y,Candidates[[#This Row],[Left Canceled]], IF(_xlpm.n=0,0, 1-(_xlpm.y/_xlpm.n)^2-((_xlpm.n-_xlpm.y)/_xlpm.n)^2))</f>
        <v>0.49905482041587906</v>
      </c>
      <c r="G29" s="8" cm="1">
        <f t="array" ref="G29">Np - Candidates[[#This Row],[Number Left]]</f>
        <v>177</v>
      </c>
      <c r="H29" s="8">
        <f>Np_Yes - Candidates[[#This Row],[Left Canceled]]</f>
        <v>63</v>
      </c>
      <c r="I29" s="8">
        <f>_xlfn.LET(_xlpm.n,Candidates[[#This Row],[Number Right]], _xlpm.y,Candidates[[#This Row],[Right Canceled]], IF(_xlpm.n=0,0, 1-(_xlpm.y/_xlpm.n)^2-((_xlpm.n-_xlpm.y)/_xlpm.n)^2))</f>
        <v>0.45848893995978174</v>
      </c>
      <c r="J29" s="8">
        <f>IF(Np=0,
   0,
   (Candidates[[#This Row],[Number Left]]/Np)*Candidates[[#This Row],[Gini Left]] + (Candidates[[#This Row],[Number Right]]/Np)*Candidates[[#This Row],[Gini Right]]
)</f>
        <v>0.4631540162122329</v>
      </c>
      <c r="K29" s="22">
        <f>GiniParent - Candidates[[#This Row],[Weighted Impurity]]</f>
        <v>5.5959837877671004E-3</v>
      </c>
    </row>
    <row r="30" spans="1:11" x14ac:dyDescent="0.3">
      <c r="A30" s="21" t="s">
        <v>16</v>
      </c>
      <c r="B30" s="8" t="s">
        <v>67</v>
      </c>
      <c r="C30" s="8">
        <f>INDEX(Analysis!B15:B23,2)</f>
        <v>680000.00000000047</v>
      </c>
      <c r="D30" s="26" cm="1">
        <f t="array" ref="D30">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f>
        <v>40</v>
      </c>
      <c r="E30" s="8" cm="1">
        <f t="array" ref="E30">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--(Data[Canceled]="Yes")
)</f>
        <v>23</v>
      </c>
      <c r="F30" s="8">
        <f>_xlfn.LET(_xlpm.n,Candidates[[#This Row],[Number Left]], _xlpm.y,Candidates[[#This Row],[Left Canceled]], IF(_xlpm.n=0,0, 1-(_xlpm.y/_xlpm.n)^2-((_xlpm.n-_xlpm.y)/_xlpm.n)^2))</f>
        <v>0.48875000000000007</v>
      </c>
      <c r="G30" s="8" cm="1">
        <f t="array" ref="G30">Np - Candidates[[#This Row],[Number Left]]</f>
        <v>160</v>
      </c>
      <c r="H30" s="8">
        <f>Analysis!B8 - E30</f>
        <v>52</v>
      </c>
      <c r="I30" s="8">
        <f>_xlfn.LET(_xlpm.n,Candidates[[#This Row],[Number Right]], _xlpm.y,Candidates[[#This Row],[Right Canceled]], IF(_xlpm.n=0,0, 1-(_xlpm.y/_xlpm.n)^2-((_xlpm.n-_xlpm.y)/_xlpm.n)^2))</f>
        <v>0.43874999999999997</v>
      </c>
      <c r="J30" s="8">
        <f>IF(Np=0,
   0,
   (Candidates[[#This Row],[Number Left]]/Np)*Candidates[[#This Row],[Gini Left]] + (Candidates[[#This Row],[Number Right]]/Np)*Candidates[[#This Row],[Gini Right]]
)</f>
        <v>0.44874999999999998</v>
      </c>
      <c r="K30" s="22">
        <f>GiniParent - Candidates[[#This Row],[Weighted Impurity]]</f>
        <v>2.0000000000000018E-2</v>
      </c>
    </row>
    <row r="31" spans="1:11" x14ac:dyDescent="0.3">
      <c r="A31" s="21" t="s">
        <v>16</v>
      </c>
      <c r="B31" s="8" t="s">
        <v>68</v>
      </c>
      <c r="C31" s="8">
        <f>INDEX(Analysis!B15:B23,3)</f>
        <v>900000</v>
      </c>
      <c r="D31" s="26" cm="1">
        <f t="array" ref="D31">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f>
        <v>63</v>
      </c>
      <c r="E31" s="8" cm="1">
        <f t="array" ref="E31">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--(Data[Canceled]="Yes")
)</f>
        <v>35</v>
      </c>
      <c r="F31" s="8">
        <f>_xlfn.LET(_xlpm.n,Candidates[[#This Row],[Number Left]], _xlpm.y,Candidates[[#This Row],[Left Canceled]], IF(_xlpm.n=0,0, 1-(_xlpm.y/_xlpm.n)^2-((_xlpm.n-_xlpm.y)/_xlpm.n)^2))</f>
        <v>0.49382716049382713</v>
      </c>
      <c r="G31" s="8" cm="1">
        <f t="array" ref="G31">Np - Candidates[[#This Row],[Number Left]]</f>
        <v>137</v>
      </c>
      <c r="H31" s="8">
        <f>Analysis!B8 - E31</f>
        <v>40</v>
      </c>
      <c r="I31" s="8">
        <f>_xlfn.LET(_xlpm.n,Candidates[[#This Row],[Number Right]], _xlpm.y,Candidates[[#This Row],[Right Canceled]], IF(_xlpm.n=0,0, 1-(_xlpm.y/_xlpm.n)^2-((_xlpm.n-_xlpm.y)/_xlpm.n)^2))</f>
        <v>0.41344770632425809</v>
      </c>
      <c r="J31" s="8">
        <f>IF(Np=0,
   0,
   (Candidates[[#This Row],[Number Left]]/Np)*Candidates[[#This Row],[Gini Left]] + (Candidates[[#This Row],[Number Right]]/Np)*Candidates[[#This Row],[Gini Right]]
)</f>
        <v>0.43876723438767234</v>
      </c>
      <c r="K31" s="22">
        <f>GiniParent - Candidates[[#This Row],[Weighted Impurity]]</f>
        <v>2.9982765612327655E-2</v>
      </c>
    </row>
    <row r="32" spans="1:11" x14ac:dyDescent="0.3">
      <c r="A32" s="21" t="s">
        <v>16</v>
      </c>
      <c r="B32" s="8" t="s">
        <v>69</v>
      </c>
      <c r="C32" s="8">
        <f>INDEX(Analysis!B15:B23,4)</f>
        <v>1200000</v>
      </c>
      <c r="D32" s="26" cm="1">
        <f t="array" ref="D32">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f>
        <v>87</v>
      </c>
      <c r="E32" s="8" cm="1">
        <f t="array" ref="E32">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--(Data[Canceled]="Yes")
)</f>
        <v>39</v>
      </c>
      <c r="F32" s="8">
        <f>_xlfn.LET(_xlpm.n,Candidates[[#This Row],[Number Left]], _xlpm.y,Candidates[[#This Row],[Left Canceled]], IF(_xlpm.n=0,0, 1-(_xlpm.y/_xlpm.n)^2-((_xlpm.n-_xlpm.y)/_xlpm.n)^2))</f>
        <v>0.49464922711058268</v>
      </c>
      <c r="G32" s="8" cm="1">
        <f t="array" ref="G32">Np - Candidates[[#This Row],[Number Left]]</f>
        <v>113</v>
      </c>
      <c r="H32" s="8">
        <f>Analysis!B8 - E32</f>
        <v>36</v>
      </c>
      <c r="I32" s="8">
        <f>_xlfn.LET(_xlpm.n,Candidates[[#This Row],[Number Right]], _xlpm.y,Candidates[[#This Row],[Right Canceled]], IF(_xlpm.n=0,0, 1-(_xlpm.y/_xlpm.n)^2-((_xlpm.n-_xlpm.y)/_xlpm.n)^2))</f>
        <v>0.43417652126243256</v>
      </c>
      <c r="J32" s="8">
        <f>IF(Np=0,
   0,
   (Candidates[[#This Row],[Number Left]]/Np)*Candidates[[#This Row],[Gini Left]] + (Candidates[[#This Row],[Number Right]]/Np)*Candidates[[#This Row],[Gini Right]]
)</f>
        <v>0.46048214830637779</v>
      </c>
      <c r="K32" s="22">
        <f>GiniParent - Candidates[[#This Row],[Weighted Impurity]]</f>
        <v>8.267851693622208E-3</v>
      </c>
    </row>
    <row r="33" spans="1:11" x14ac:dyDescent="0.3">
      <c r="A33" s="21" t="s">
        <v>16</v>
      </c>
      <c r="B33" s="8" t="s">
        <v>70</v>
      </c>
      <c r="C33" s="8">
        <f>INDEX(Analysis!B15:B23,5)</f>
        <v>1400000</v>
      </c>
      <c r="D33" s="26" cm="1">
        <f t="array" ref="D33">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f>
        <v>101</v>
      </c>
      <c r="E33" s="8" cm="1">
        <f t="array" ref="E33">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--(Data[Canceled]="Yes")
)</f>
        <v>42</v>
      </c>
      <c r="F33" s="8">
        <f>_xlfn.LET(_xlpm.n,Candidates[[#This Row],[Number Left]], _xlpm.y,Candidates[[#This Row],[Left Canceled]], IF(_xlpm.n=0,0, 1-(_xlpm.y/_xlpm.n)^2-((_xlpm.n-_xlpm.y)/_xlpm.n)^2))</f>
        <v>0.48583472208607009</v>
      </c>
      <c r="G33" s="8" cm="1">
        <f t="array" ref="G33">Np - Candidates[[#This Row],[Number Left]]</f>
        <v>99</v>
      </c>
      <c r="H33" s="8">
        <f>Analysis!B8 - E33</f>
        <v>33</v>
      </c>
      <c r="I33" s="8">
        <f>_xlfn.LET(_xlpm.n,Candidates[[#This Row],[Number Right]], _xlpm.y,Candidates[[#This Row],[Right Canceled]], IF(_xlpm.n=0,0, 1-(_xlpm.y/_xlpm.n)^2-((_xlpm.n-_xlpm.y)/_xlpm.n)^2))</f>
        <v>0.44444444444444442</v>
      </c>
      <c r="J33" s="8">
        <f>IF(Np=0,
   0,
   (Candidates[[#This Row],[Number Left]]/Np)*Candidates[[#This Row],[Gini Left]] + (Candidates[[#This Row],[Number Right]]/Np)*Candidates[[#This Row],[Gini Right]]
)</f>
        <v>0.46534653465346537</v>
      </c>
      <c r="K33" s="22">
        <f>GiniParent - Candidates[[#This Row],[Weighted Impurity]]</f>
        <v>3.4034653465346287E-3</v>
      </c>
    </row>
    <row r="34" spans="1:11" x14ac:dyDescent="0.3">
      <c r="A34" s="21" t="s">
        <v>16</v>
      </c>
      <c r="B34" s="8" t="s">
        <v>71</v>
      </c>
      <c r="C34" s="8">
        <f>INDEX(Analysis!B15:B23,6)</f>
        <v>1800000</v>
      </c>
      <c r="D34" s="26" cm="1">
        <f t="array" ref="D34">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f>
        <v>121</v>
      </c>
      <c r="E34" s="8" cm="1">
        <f t="array" ref="E34">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--(Data[Canceled]="Yes")
)</f>
        <v>49</v>
      </c>
      <c r="F34" s="8">
        <f>_xlfn.LET(_xlpm.n,Candidates[[#This Row],[Number Left]], _xlpm.y,Candidates[[#This Row],[Left Canceled]], IF(_xlpm.n=0,0, 1-(_xlpm.y/_xlpm.n)^2-((_xlpm.n-_xlpm.y)/_xlpm.n)^2))</f>
        <v>0.48193429410559391</v>
      </c>
      <c r="G34" s="8" cm="1">
        <f t="array" ref="G34">Np - Candidates[[#This Row],[Number Left]]</f>
        <v>79</v>
      </c>
      <c r="H34" s="8">
        <f>Analysis!B8 - E34</f>
        <v>26</v>
      </c>
      <c r="I34" s="8">
        <f>_xlfn.LET(_xlpm.n,Candidates[[#This Row],[Number Right]], _xlpm.y,Candidates[[#This Row],[Right Canceled]], IF(_xlpm.n=0,0, 1-(_xlpm.y/_xlpm.n)^2-((_xlpm.n-_xlpm.y)/_xlpm.n)^2))</f>
        <v>0.44159589809325434</v>
      </c>
      <c r="J34" s="8">
        <f>IF(Np=0,
   0,
   (Candidates[[#This Row],[Number Left]]/Np)*Candidates[[#This Row],[Gini Left]] + (Candidates[[#This Row],[Number Right]]/Np)*Candidates[[#This Row],[Gini Right]]
)</f>
        <v>0.46600062768071981</v>
      </c>
      <c r="K34" s="22">
        <f>GiniParent - Candidates[[#This Row],[Weighted Impurity]]</f>
        <v>2.7493723192801856E-3</v>
      </c>
    </row>
    <row r="35" spans="1:11" x14ac:dyDescent="0.3">
      <c r="A35" s="21" t="s">
        <v>16</v>
      </c>
      <c r="B35" s="8" t="s">
        <v>72</v>
      </c>
      <c r="C35" s="8">
        <f>INDEX(Analysis!B15:B23,7)</f>
        <v>2200000</v>
      </c>
      <c r="D35" s="26" cm="1">
        <f t="array" ref="D35">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f>
        <v>147</v>
      </c>
      <c r="E35" s="8" cm="1">
        <f t="array" ref="E35">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--(Data[Canceled]="Yes")
)</f>
        <v>60</v>
      </c>
      <c r="F35" s="8">
        <f>_xlfn.LET(_xlpm.n,Candidates[[#This Row],[Number Left]], _xlpm.y,Candidates[[#This Row],[Left Canceled]], IF(_xlpm.n=0,0, 1-(_xlpm.y/_xlpm.n)^2-((_xlpm.n-_xlpm.y)/_xlpm.n)^2))</f>
        <v>0.48313202832153263</v>
      </c>
      <c r="G35" s="8" cm="1">
        <f t="array" ref="G35">Np - Candidates[[#This Row],[Number Left]]</f>
        <v>53</v>
      </c>
      <c r="H35" s="8">
        <f>Analysis!B8 - E35</f>
        <v>15</v>
      </c>
      <c r="I35" s="8">
        <f>_xlfn.LET(_xlpm.n,Candidates[[#This Row],[Number Right]], _xlpm.y,Candidates[[#This Row],[Right Canceled]], IF(_xlpm.n=0,0, 1-(_xlpm.y/_xlpm.n)^2-((_xlpm.n-_xlpm.y)/_xlpm.n)^2))</f>
        <v>0.40583837664649347</v>
      </c>
      <c r="J35" s="8">
        <f>IF(Np=0,
   0,
   (Candidates[[#This Row],[Number Left]]/Np)*Candidates[[#This Row],[Gini Left]] + (Candidates[[#This Row],[Number Right]]/Np)*Candidates[[#This Row],[Gini Right]]
)</f>
        <v>0.46264921062764724</v>
      </c>
      <c r="K35" s="22">
        <f>GiniParent - Candidates[[#This Row],[Weighted Impurity]]</f>
        <v>6.1007893723527551E-3</v>
      </c>
    </row>
    <row r="36" spans="1:11" x14ac:dyDescent="0.3">
      <c r="A36" s="21" t="s">
        <v>16</v>
      </c>
      <c r="B36" s="8" t="s">
        <v>73</v>
      </c>
      <c r="C36" s="8">
        <f>INDEX(Analysis!B15:B23,8)</f>
        <v>2400000</v>
      </c>
      <c r="D36" s="26" cm="1">
        <f t="array" ref="D36">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f>
        <v>161</v>
      </c>
      <c r="E36" s="8" cm="1">
        <f t="array" ref="E36">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--(Data[Canceled]="Yes")
)</f>
        <v>65</v>
      </c>
      <c r="F36" s="8">
        <f>_xlfn.LET(_xlpm.n,Candidates[[#This Row],[Number Left]], _xlpm.y,Candidates[[#This Row],[Left Canceled]], IF(_xlpm.n=0,0, 1-(_xlpm.y/_xlpm.n)^2-((_xlpm.n-_xlpm.y)/_xlpm.n)^2))</f>
        <v>0.48146290652366813</v>
      </c>
      <c r="G36" s="8" cm="1">
        <f t="array" ref="G36">Np - Candidates[[#This Row],[Number Left]]</f>
        <v>39</v>
      </c>
      <c r="H36" s="8">
        <f>Analysis!B8 - E36</f>
        <v>10</v>
      </c>
      <c r="I36" s="8">
        <f>_xlfn.LET(_xlpm.n,Candidates[[#This Row],[Number Right]], _xlpm.y,Candidates[[#This Row],[Right Canceled]], IF(_xlpm.n=0,0, 1-(_xlpm.y/_xlpm.n)^2-((_xlpm.n-_xlpm.y)/_xlpm.n)^2))</f>
        <v>0.38132807363576582</v>
      </c>
      <c r="J36" s="8">
        <f>IF(Np=0,
   0,
   (Candidates[[#This Row],[Number Left]]/Np)*Candidates[[#This Row],[Gini Left]] + (Candidates[[#This Row],[Number Right]]/Np)*Candidates[[#This Row],[Gini Right]]
)</f>
        <v>0.46193661411052717</v>
      </c>
      <c r="K36" s="22">
        <f>GiniParent - Candidates[[#This Row],[Weighted Impurity]]</f>
        <v>6.8133858894728339E-3</v>
      </c>
    </row>
    <row r="37" spans="1:11" x14ac:dyDescent="0.3">
      <c r="A37" s="21" t="s">
        <v>16</v>
      </c>
      <c r="B37" s="8" t="s">
        <v>74</v>
      </c>
      <c r="C37" s="8">
        <f>INDEX(Analysis!B15:B23,9)</f>
        <v>2800000</v>
      </c>
      <c r="D37" s="26" cm="1">
        <f t="array" ref="D37">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f>
        <v>184</v>
      </c>
      <c r="E37" s="8" cm="1">
        <f t="array" ref="E37">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--(Data[Canceled]="Yes")
)</f>
        <v>74</v>
      </c>
      <c r="F37" s="8">
        <f>_xlfn.LET(_xlpm.n,Candidates[[#This Row],[Number Left]], _xlpm.y,Candidates[[#This Row],[Left Canceled]], IF(_xlpm.n=0,0, 1-(_xlpm.y/_xlpm.n)^2-((_xlpm.n-_xlpm.y)/_xlpm.n)^2))</f>
        <v>0.48086011342155016</v>
      </c>
      <c r="G37" s="8" cm="1">
        <f t="array" ref="G37">Np - Candidates[[#This Row],[Number Left]]</f>
        <v>16</v>
      </c>
      <c r="H37" s="8">
        <f>Analysis!B8 - E37</f>
        <v>1</v>
      </c>
      <c r="I37" s="8">
        <f>_xlfn.LET(_xlpm.n,Candidates[[#This Row],[Number Right]], _xlpm.y,Candidates[[#This Row],[Right Canceled]], IF(_xlpm.n=0,0, 1-(_xlpm.y/_xlpm.n)^2-((_xlpm.n-_xlpm.y)/_xlpm.n)^2))</f>
        <v>0.1171875</v>
      </c>
      <c r="J37" s="8">
        <f>IF(Np=0,
   0,
   (Candidates[[#This Row],[Number Left]]/Np)*Candidates[[#This Row],[Gini Left]] + (Candidates[[#This Row],[Number Right]]/Np)*Candidates[[#This Row],[Gini Right]]
)</f>
        <v>0.45176630434782616</v>
      </c>
      <c r="K37" s="22">
        <f>GiniParent - Candidates[[#This Row],[Weighted Impurity]]</f>
        <v>1.6983695652173836E-2</v>
      </c>
    </row>
    <row r="38" spans="1:11" x14ac:dyDescent="0.3">
      <c r="A38" s="21" t="s">
        <v>75</v>
      </c>
      <c r="B38" s="8" t="s">
        <v>66</v>
      </c>
      <c r="C38" s="8">
        <f>INDEX(Analysis!C15:C23,1)</f>
        <v>7</v>
      </c>
      <c r="D38" s="26" cm="1">
        <f t="array" ref="D38">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f>
        <v>25</v>
      </c>
      <c r="E38" s="8" cm="1">
        <f t="array" ref="E38">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--(Data[Canceled]="Yes")
)</f>
        <v>11</v>
      </c>
      <c r="F38" s="8">
        <f>_xlfn.LET(_xlpm.n,Candidates[[#This Row],[Number Left]], _xlpm.y,Candidates[[#This Row],[Left Canceled]], IF(_xlpm.n=0,0, 1-(_xlpm.y/_xlpm.n)^2-((_xlpm.n-_xlpm.y)/_xlpm.n)^2))</f>
        <v>0.49279999999999996</v>
      </c>
      <c r="G38" s="8" cm="1">
        <f t="array" ref="G38">Np - Candidates[[#This Row],[Number Left]]</f>
        <v>175</v>
      </c>
      <c r="H38" s="8">
        <f>Analysis!B8 - E38</f>
        <v>64</v>
      </c>
      <c r="I38" s="8">
        <f>_xlfn.LET(_xlpm.n,Candidates[[#This Row],[Number Right]], _xlpm.y,Candidates[[#This Row],[Right Canceled]], IF(_xlpm.n=0,0, 1-(_xlpm.y/_xlpm.n)^2-((_xlpm.n-_xlpm.y)/_xlpm.n)^2))</f>
        <v>0.46393469387755115</v>
      </c>
      <c r="J38" s="8">
        <f>IF(Np=0,
   0,
   (Candidates[[#This Row],[Number Left]]/Np)*Candidates[[#This Row],[Gini Left]] + (Candidates[[#This Row],[Number Right]]/Np)*Candidates[[#This Row],[Gini Right]]
)</f>
        <v>0.46754285714285726</v>
      </c>
      <c r="K38" s="22">
        <f>GiniParent - Candidates[[#This Row],[Weighted Impurity]]</f>
        <v>1.2071428571427401E-3</v>
      </c>
    </row>
    <row r="39" spans="1:11" x14ac:dyDescent="0.3">
      <c r="A39" s="21" t="s">
        <v>75</v>
      </c>
      <c r="B39" s="8" t="s">
        <v>67</v>
      </c>
      <c r="C39" s="8">
        <f>INDEX(Analysis!C15:C23,2)</f>
        <v>8</v>
      </c>
      <c r="D39" s="26" cm="1">
        <f t="array" ref="D39">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f>
        <v>42</v>
      </c>
      <c r="E39" s="8" cm="1">
        <f t="array" ref="E39">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--(Data[Canceled]="Yes")
)</f>
        <v>15</v>
      </c>
      <c r="F39" s="8">
        <f>_xlfn.LET(_xlpm.n,Candidates[[#This Row],[Number Left]], _xlpm.y,Candidates[[#This Row],[Left Canceled]], IF(_xlpm.n=0,0, 1-(_xlpm.y/_xlpm.n)^2-((_xlpm.n-_xlpm.y)/_xlpm.n)^2))</f>
        <v>0.45918367346938771</v>
      </c>
      <c r="G39" s="8" cm="1">
        <f t="array" ref="G39">Np - Candidates[[#This Row],[Number Left]]</f>
        <v>158</v>
      </c>
      <c r="H39" s="8">
        <f>Analysis!B8 - E39</f>
        <v>60</v>
      </c>
      <c r="I39" s="8">
        <f>_xlfn.LET(_xlpm.n,Candidates[[#This Row],[Number Right]], _xlpm.y,Candidates[[#This Row],[Right Canceled]], IF(_xlpm.n=0,0, 1-(_xlpm.y/_xlpm.n)^2-((_xlpm.n-_xlpm.y)/_xlpm.n)^2))</f>
        <v>0.47107835282807242</v>
      </c>
      <c r="J39" s="8">
        <f>IF(Np=0,
   0,
   (Candidates[[#This Row],[Number Left]]/Np)*Candidates[[#This Row],[Gini Left]] + (Candidates[[#This Row],[Number Right]]/Np)*Candidates[[#This Row],[Gini Right]]
)</f>
        <v>0.46858047016274867</v>
      </c>
      <c r="K39" s="22">
        <f>GiniParent - Candidates[[#This Row],[Weighted Impurity]]</f>
        <v>1.6952983725132542E-4</v>
      </c>
    </row>
    <row r="40" spans="1:11" x14ac:dyDescent="0.3">
      <c r="A40" s="21" t="s">
        <v>75</v>
      </c>
      <c r="B40" s="8" t="s">
        <v>68</v>
      </c>
      <c r="C40" s="8">
        <f>INDEX(Analysis!C15:C23,3)</f>
        <v>9</v>
      </c>
      <c r="D40" s="26" cm="1">
        <f t="array" ref="D40">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f>
        <v>62</v>
      </c>
      <c r="E40" s="8" cm="1">
        <f t="array" ref="E40">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--(Data[Canceled]="Yes")
)</f>
        <v>22</v>
      </c>
      <c r="F40" s="8">
        <f>_xlfn.LET(_xlpm.n,Candidates[[#This Row],[Number Left]], _xlpm.y,Candidates[[#This Row],[Left Canceled]], IF(_xlpm.n=0,0, 1-(_xlpm.y/_xlpm.n)^2-((_xlpm.n-_xlpm.y)/_xlpm.n)^2))</f>
        <v>0.45785639958376684</v>
      </c>
      <c r="G40" s="8" cm="1">
        <f t="array" ref="G40">Np - Candidates[[#This Row],[Number Left]]</f>
        <v>138</v>
      </c>
      <c r="H40" s="8">
        <f>Analysis!B8 - E40</f>
        <v>53</v>
      </c>
      <c r="I40" s="8">
        <f>_xlfn.LET(_xlpm.n,Candidates[[#This Row],[Number Right]], _xlpm.y,Candidates[[#This Row],[Right Canceled]], IF(_xlpm.n=0,0, 1-(_xlpm.y/_xlpm.n)^2-((_xlpm.n-_xlpm.y)/_xlpm.n)^2))</f>
        <v>0.47311489182944766</v>
      </c>
      <c r="J40" s="8">
        <f>IF(Np=0,
   0,
   (Candidates[[#This Row],[Number Left]]/Np)*Candidates[[#This Row],[Gini Left]] + (Candidates[[#This Row],[Number Right]]/Np)*Candidates[[#This Row],[Gini Right]]
)</f>
        <v>0.4683847592332866</v>
      </c>
      <c r="K40" s="22">
        <f>GiniParent - Candidates[[#This Row],[Weighted Impurity]]</f>
        <v>3.6524076671340389E-4</v>
      </c>
    </row>
    <row r="41" spans="1:11" x14ac:dyDescent="0.3">
      <c r="A41" s="21" t="s">
        <v>75</v>
      </c>
      <c r="B41" s="8" t="s">
        <v>69</v>
      </c>
      <c r="C41" s="8">
        <f>INDEX(Analysis!C15:C23,4)</f>
        <v>10</v>
      </c>
      <c r="D41" s="26" cm="1">
        <f t="array" ref="D41">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f>
        <v>83</v>
      </c>
      <c r="E41" s="8" cm="1">
        <f t="array" ref="E41">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--(Data[Canceled]="Yes")
)</f>
        <v>29</v>
      </c>
      <c r="F41" s="8">
        <f>_xlfn.LET(_xlpm.n,Candidates[[#This Row],[Number Left]], _xlpm.y,Candidates[[#This Row],[Left Canceled]], IF(_xlpm.n=0,0, 1-(_xlpm.y/_xlpm.n)^2-((_xlpm.n-_xlpm.y)/_xlpm.n)^2))</f>
        <v>0.45463782842212219</v>
      </c>
      <c r="G41" s="8" cm="1">
        <f t="array" ref="G41">Np - Candidates[[#This Row],[Number Left]]</f>
        <v>117</v>
      </c>
      <c r="H41" s="8">
        <f>Analysis!B8 - E41</f>
        <v>46</v>
      </c>
      <c r="I41" s="8">
        <f>_xlfn.LET(_xlpm.n,Candidates[[#This Row],[Number Right]], _xlpm.y,Candidates[[#This Row],[Right Canceled]], IF(_xlpm.n=0,0, 1-(_xlpm.y/_xlpm.n)^2-((_xlpm.n-_xlpm.y)/_xlpm.n)^2))</f>
        <v>0.47717145153042595</v>
      </c>
      <c r="J41" s="8">
        <f>IF(Np=0,
   0,
   (Candidates[[#This Row],[Number Left]]/Np)*Candidates[[#This Row],[Gini Left]] + (Candidates[[#This Row],[Number Right]]/Np)*Candidates[[#This Row],[Gini Right]]
)</f>
        <v>0.4678199979404799</v>
      </c>
      <c r="K41" s="22">
        <f>GiniParent - Candidates[[#This Row],[Weighted Impurity]]</f>
        <v>9.300020595200964E-4</v>
      </c>
    </row>
    <row r="42" spans="1:11" x14ac:dyDescent="0.3">
      <c r="A42" s="21" t="s">
        <v>75</v>
      </c>
      <c r="B42" s="8" t="s">
        <v>70</v>
      </c>
      <c r="C42" s="8">
        <f>INDEX(Analysis!C15:C23,5)</f>
        <v>12</v>
      </c>
      <c r="D42" s="26" cm="1">
        <f t="array" ref="D42">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f>
        <v>106</v>
      </c>
      <c r="E42" s="8" cm="1">
        <f t="array" ref="E42">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--(Data[Canceled]="Yes")
)</f>
        <v>39</v>
      </c>
      <c r="F42" s="8">
        <f>_xlfn.LET(_xlpm.n,Candidates[[#This Row],[Number Left]], _xlpm.y,Candidates[[#This Row],[Left Canceled]], IF(_xlpm.n=0,0, 1-(_xlpm.y/_xlpm.n)^2-((_xlpm.n-_xlpm.y)/_xlpm.n)^2))</f>
        <v>0.46511213955144187</v>
      </c>
      <c r="G42" s="8" cm="1">
        <f t="array" ref="G42">Np - Candidates[[#This Row],[Number Left]]</f>
        <v>94</v>
      </c>
      <c r="H42" s="8">
        <f>Analysis!B8 - E42</f>
        <v>36</v>
      </c>
      <c r="I42" s="8">
        <f>_xlfn.LET(_xlpm.n,Candidates[[#This Row],[Number Right]], _xlpm.y,Candidates[[#This Row],[Right Canceled]], IF(_xlpm.n=0,0, 1-(_xlpm.y/_xlpm.n)^2-((_xlpm.n-_xlpm.y)/_xlpm.n)^2))</f>
        <v>0.4726120416478044</v>
      </c>
      <c r="J42" s="8">
        <f>IF(Np=0,
   0,
   (Candidates[[#This Row],[Number Left]]/Np)*Candidates[[#This Row],[Gini Left]] + (Candidates[[#This Row],[Number Right]]/Np)*Candidates[[#This Row],[Gini Right]]
)</f>
        <v>0.46863709353673227</v>
      </c>
      <c r="K42" s="22">
        <f>GiniParent - Candidates[[#This Row],[Weighted Impurity]]</f>
        <v>1.1290646326772569E-4</v>
      </c>
    </row>
    <row r="43" spans="1:11" x14ac:dyDescent="0.3">
      <c r="A43" s="21" t="s">
        <v>75</v>
      </c>
      <c r="B43" s="8" t="s">
        <v>71</v>
      </c>
      <c r="C43" s="8">
        <f>INDEX(Analysis!C15:C23,6)</f>
        <v>14</v>
      </c>
      <c r="D43" s="26" cm="1">
        <f t="array" ref="D43">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f>
        <v>130</v>
      </c>
      <c r="E43" s="8" cm="1">
        <f t="array" ref="E43">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--(Data[Canceled]="Yes")
)</f>
        <v>49</v>
      </c>
      <c r="F43" s="8">
        <f>_xlfn.LET(_xlpm.n,Candidates[[#This Row],[Number Left]], _xlpm.y,Candidates[[#This Row],[Left Canceled]], IF(_xlpm.n=0,0, 1-(_xlpm.y/_xlpm.n)^2-((_xlpm.n-_xlpm.y)/_xlpm.n)^2))</f>
        <v>0.46970414201183436</v>
      </c>
      <c r="G43" s="8" cm="1">
        <f t="array" ref="G43">Np - Candidates[[#This Row],[Number Left]]</f>
        <v>70</v>
      </c>
      <c r="H43" s="8">
        <f>Analysis!B8 - E43</f>
        <v>26</v>
      </c>
      <c r="I43" s="8">
        <f>_xlfn.LET(_xlpm.n,Candidates[[#This Row],[Number Right]], _xlpm.y,Candidates[[#This Row],[Right Canceled]], IF(_xlpm.n=0,0, 1-(_xlpm.y/_xlpm.n)^2-((_xlpm.n-_xlpm.y)/_xlpm.n)^2))</f>
        <v>0.46693877551020413</v>
      </c>
      <c r="J43" s="8">
        <f>IF(Np=0,
   0,
   (Candidates[[#This Row],[Number Left]]/Np)*Candidates[[#This Row],[Gini Left]] + (Candidates[[#This Row],[Number Right]]/Np)*Candidates[[#This Row],[Gini Right]]
)</f>
        <v>0.46873626373626376</v>
      </c>
      <c r="K43" s="22">
        <f>GiniParent - Candidates[[#This Row],[Weighted Impurity]]</f>
        <v>1.3736263736241483E-5</v>
      </c>
    </row>
    <row r="44" spans="1:11" x14ac:dyDescent="0.3">
      <c r="A44" s="21" t="s">
        <v>75</v>
      </c>
      <c r="B44" s="8" t="s">
        <v>72</v>
      </c>
      <c r="C44" s="8">
        <f>INDEX(Analysis!C15:C23,7)</f>
        <v>16</v>
      </c>
      <c r="D44" s="26" cm="1">
        <f t="array" ref="D44">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f>
        <v>151</v>
      </c>
      <c r="E44" s="8" cm="1">
        <f t="array" ref="E44">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--(Data[Canceled]="Yes")
)</f>
        <v>57</v>
      </c>
      <c r="F44" s="8">
        <f>_xlfn.LET(_xlpm.n,Candidates[[#This Row],[Number Left]], _xlpm.y,Candidates[[#This Row],[Left Canceled]], IF(_xlpm.n=0,0, 1-(_xlpm.y/_xlpm.n)^2-((_xlpm.n-_xlpm.y)/_xlpm.n)^2))</f>
        <v>0.46997938686899698</v>
      </c>
      <c r="G44" s="8" cm="1">
        <f t="array" ref="G44">Np - Candidates[[#This Row],[Number Left]]</f>
        <v>49</v>
      </c>
      <c r="H44" s="8">
        <f>Analysis!B8 - E44</f>
        <v>18</v>
      </c>
      <c r="I44" s="8">
        <f>_xlfn.LET(_xlpm.n,Candidates[[#This Row],[Number Right]], _xlpm.y,Candidates[[#This Row],[Right Canceled]], IF(_xlpm.n=0,0, 1-(_xlpm.y/_xlpm.n)^2-((_xlpm.n-_xlpm.y)/_xlpm.n)^2))</f>
        <v>0.4648063306955435</v>
      </c>
      <c r="J44" s="8">
        <f>IF(Np=0,
   0,
   (Candidates[[#This Row],[Number Left]]/Np)*Candidates[[#This Row],[Gini Left]] + (Candidates[[#This Row],[Number Right]]/Np)*Candidates[[#This Row],[Gini Right]]
)</f>
        <v>0.46871198810650089</v>
      </c>
      <c r="K44" s="22">
        <f>GiniParent - Candidates[[#This Row],[Weighted Impurity]]</f>
        <v>3.8011893499112492E-5</v>
      </c>
    </row>
    <row r="45" spans="1:11" x14ac:dyDescent="0.3">
      <c r="A45" s="21" t="s">
        <v>75</v>
      </c>
      <c r="B45" s="8" t="s">
        <v>73</v>
      </c>
      <c r="C45" s="8">
        <f>INDEX(Analysis!C15:C23,8)</f>
        <v>18</v>
      </c>
      <c r="D45" s="26" cm="1">
        <f t="array" ref="D45">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f>
        <v>166</v>
      </c>
      <c r="E45" s="8" cm="1">
        <f t="array" ref="E45">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--(Data[Canceled]="Yes")
)</f>
        <v>63</v>
      </c>
      <c r="F45" s="8">
        <f>_xlfn.LET(_xlpm.n,Candidates[[#This Row],[Number Left]], _xlpm.y,Candidates[[#This Row],[Left Canceled]], IF(_xlpm.n=0,0, 1-(_xlpm.y/_xlpm.n)^2-((_xlpm.n-_xlpm.y)/_xlpm.n)^2))</f>
        <v>0.47096821019015811</v>
      </c>
      <c r="G45" s="8" cm="1">
        <f t="array" ref="G45">Np - Candidates[[#This Row],[Number Left]]</f>
        <v>34</v>
      </c>
      <c r="H45" s="8">
        <f>Analysis!B8 - E45</f>
        <v>12</v>
      </c>
      <c r="I45" s="8">
        <f>_xlfn.LET(_xlpm.n,Candidates[[#This Row],[Number Right]], _xlpm.y,Candidates[[#This Row],[Right Canceled]], IF(_xlpm.n=0,0, 1-(_xlpm.y/_xlpm.n)^2-((_xlpm.n-_xlpm.y)/_xlpm.n)^2))</f>
        <v>0.45674740484429061</v>
      </c>
      <c r="J45" s="8">
        <f>IF(Np=0,
   0,
   (Candidates[[#This Row],[Number Left]]/Np)*Candidates[[#This Row],[Gini Left]] + (Candidates[[#This Row],[Number Right]]/Np)*Candidates[[#This Row],[Gini Right]]
)</f>
        <v>0.46855067328136063</v>
      </c>
      <c r="K45" s="22">
        <f>GiniParent - Candidates[[#This Row],[Weighted Impurity]]</f>
        <v>1.993267186393699E-4</v>
      </c>
    </row>
    <row r="46" spans="1:11" x14ac:dyDescent="0.3">
      <c r="A46" s="21" t="s">
        <v>75</v>
      </c>
      <c r="B46" s="8" t="s">
        <v>74</v>
      </c>
      <c r="C46" s="8">
        <f>INDEX(Analysis!C15:C23,9)</f>
        <v>21</v>
      </c>
      <c r="D46" s="26" cm="1">
        <f t="array" ref="D46">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f>
        <v>186</v>
      </c>
      <c r="E46" s="8" cm="1">
        <f t="array" ref="E46">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--(Data[Canceled]="Yes")
)</f>
        <v>71</v>
      </c>
      <c r="F46" s="8">
        <f>_xlfn.LET(_xlpm.n,Candidates[[#This Row],[Number Left]], _xlpm.y,Candidates[[#This Row],[Left Canceled]], IF(_xlpm.n=0,0, 1-(_xlpm.y/_xlpm.n)^2-((_xlpm.n-_xlpm.y)/_xlpm.n)^2))</f>
        <v>0.4720198866921031</v>
      </c>
      <c r="G46" s="8" cm="1">
        <f t="array" ref="G46">Np - Candidates[[#This Row],[Number Left]]</f>
        <v>14</v>
      </c>
      <c r="H46" s="8">
        <f>Analysis!B8 - E46</f>
        <v>4</v>
      </c>
      <c r="I46" s="8">
        <f>_xlfn.LET(_xlpm.n,Candidates[[#This Row],[Number Right]], _xlpm.y,Candidates[[#This Row],[Right Canceled]], IF(_xlpm.n=0,0, 1-(_xlpm.y/_xlpm.n)^2-((_xlpm.n-_xlpm.y)/_xlpm.n)^2))</f>
        <v>0.40816326530612246</v>
      </c>
      <c r="J46" s="8">
        <f>IF(Np=0,
   0,
   (Candidates[[#This Row],[Number Left]]/Np)*Candidates[[#This Row],[Gini Left]] + (Candidates[[#This Row],[Number Right]]/Np)*Candidates[[#This Row],[Gini Right]]
)</f>
        <v>0.46754992319508448</v>
      </c>
      <c r="K46" s="22">
        <f>GiniParent - Candidates[[#This Row],[Weighted Impurity]]</f>
        <v>1.2000768049155175E-3</v>
      </c>
    </row>
    <row r="47" spans="1:11" x14ac:dyDescent="0.3">
      <c r="A47" s="21" t="s">
        <v>76</v>
      </c>
      <c r="B47" s="8" t="s">
        <v>66</v>
      </c>
      <c r="C47" s="8">
        <f>INDEX(Analysis!D15:D23,1)</f>
        <v>5</v>
      </c>
      <c r="D47" s="26" cm="1">
        <f t="array" ref="D47">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f>
        <v>23</v>
      </c>
      <c r="E47" s="8" cm="1">
        <f t="array" ref="E47">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--(Data[Canceled]="Yes")
)</f>
        <v>10</v>
      </c>
      <c r="F47" s="8">
        <f>_xlfn.LET(_xlpm.n,Candidates[[#This Row],[Number Left]], _xlpm.y,Candidates[[#This Row],[Left Canceled]], IF(_xlpm.n=0,0, 1-(_xlpm.y/_xlpm.n)^2-((_xlpm.n-_xlpm.y)/_xlpm.n)^2))</f>
        <v>0.49149338374291118</v>
      </c>
      <c r="G47" s="8" cm="1">
        <f t="array" ref="G47">Np - Candidates[[#This Row],[Number Left]]</f>
        <v>177</v>
      </c>
      <c r="H47" s="8">
        <f>Analysis!B8 - E47</f>
        <v>65</v>
      </c>
      <c r="I47" s="8">
        <f>_xlfn.LET(_xlpm.n,Candidates[[#This Row],[Number Right]], _xlpm.y,Candidates[[#This Row],[Right Canceled]], IF(_xlpm.n=0,0, 1-(_xlpm.y/_xlpm.n)^2-((_xlpm.n-_xlpm.y)/_xlpm.n)^2))</f>
        <v>0.46474512432570458</v>
      </c>
      <c r="J47" s="8">
        <f>IF(Np=0,
   0,
   (Candidates[[#This Row],[Number Left]]/Np)*Candidates[[#This Row],[Gini Left]] + (Candidates[[#This Row],[Number Right]]/Np)*Candidates[[#This Row],[Gini Right]]
)</f>
        <v>0.46782117415868335</v>
      </c>
      <c r="K47" s="22">
        <f>GiniParent - Candidates[[#This Row],[Weighted Impurity]]</f>
        <v>9.2882584131664947E-4</v>
      </c>
    </row>
    <row r="48" spans="1:11" x14ac:dyDescent="0.3">
      <c r="A48" s="21" t="s">
        <v>76</v>
      </c>
      <c r="B48" s="8" t="s">
        <v>67</v>
      </c>
      <c r="C48" s="8">
        <f>INDEX(Analysis!D15:D23,2)</f>
        <v>9</v>
      </c>
      <c r="D48" s="26" cm="1">
        <f t="array" ref="D48">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f>
        <v>47</v>
      </c>
      <c r="E48" s="8" cm="1">
        <f t="array" ref="E48">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--(Data[Canceled]="Yes")
)</f>
        <v>17</v>
      </c>
      <c r="F48" s="8">
        <f>_xlfn.LET(_xlpm.n,Candidates[[#This Row],[Number Left]], _xlpm.y,Candidates[[#This Row],[Left Canceled]], IF(_xlpm.n=0,0, 1-(_xlpm.y/_xlpm.n)^2-((_xlpm.n-_xlpm.y)/_xlpm.n)^2))</f>
        <v>0.46174739701222262</v>
      </c>
      <c r="G48" s="8" cm="1">
        <f t="array" ref="G48">Np - Candidates[[#This Row],[Number Left]]</f>
        <v>153</v>
      </c>
      <c r="H48" s="8">
        <f>Analysis!B8 - E48</f>
        <v>58</v>
      </c>
      <c r="I48" s="8">
        <f>_xlfn.LET(_xlpm.n,Candidates[[#This Row],[Number Right]], _xlpm.y,Candidates[[#This Row],[Right Canceled]], IF(_xlpm.n=0,0, 1-(_xlpm.y/_xlpm.n)^2-((_xlpm.n-_xlpm.y)/_xlpm.n)^2))</f>
        <v>0.4707591097441155</v>
      </c>
      <c r="J48" s="8">
        <f>IF(Np=0,
   0,
   (Candidates[[#This Row],[Number Left]]/Np)*Candidates[[#This Row],[Gini Left]] + (Candidates[[#This Row],[Number Right]]/Np)*Candidates[[#This Row],[Gini Right]]
)</f>
        <v>0.46864135725212064</v>
      </c>
      <c r="K48" s="22">
        <f>GiniParent - Candidates[[#This Row],[Weighted Impurity]]</f>
        <v>1.0864274787936168E-4</v>
      </c>
    </row>
    <row r="49" spans="1:11" x14ac:dyDescent="0.3">
      <c r="A49" s="21" t="s">
        <v>76</v>
      </c>
      <c r="B49" s="8" t="s">
        <v>68</v>
      </c>
      <c r="C49" s="8">
        <f>INDEX(Analysis!D15:D23,3)</f>
        <v>11</v>
      </c>
      <c r="D49" s="26" cm="1">
        <f t="array" ref="D49">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f>
        <v>64</v>
      </c>
      <c r="E49" s="8" cm="1">
        <f t="array" ref="E49">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--(Data[Canceled]="Yes")
)</f>
        <v>21</v>
      </c>
      <c r="F49" s="8">
        <f>_xlfn.LET(_xlpm.n,Candidates[[#This Row],[Number Left]], _xlpm.y,Candidates[[#This Row],[Left Canceled]], IF(_xlpm.n=0,0, 1-(_xlpm.y/_xlpm.n)^2-((_xlpm.n-_xlpm.y)/_xlpm.n)^2))</f>
        <v>0.44091796875</v>
      </c>
      <c r="G49" s="8" cm="1">
        <f t="array" ref="G49">Np - Candidates[[#This Row],[Number Left]]</f>
        <v>136</v>
      </c>
      <c r="H49" s="8">
        <f>Analysis!B8 - E49</f>
        <v>54</v>
      </c>
      <c r="I49" s="8">
        <f>_xlfn.LET(_xlpm.n,Candidates[[#This Row],[Number Right]], _xlpm.y,Candidates[[#This Row],[Right Canceled]], IF(_xlpm.n=0,0, 1-(_xlpm.y/_xlpm.n)^2-((_xlpm.n-_xlpm.y)/_xlpm.n)^2))</f>
        <v>0.47880622837370246</v>
      </c>
      <c r="J49" s="8">
        <f>IF(Np=0,
   0,
   (Candidates[[#This Row],[Number Left]]/Np)*Candidates[[#This Row],[Gini Left]] + (Candidates[[#This Row],[Number Right]]/Np)*Candidates[[#This Row],[Gini Right]]
)</f>
        <v>0.46668198529411764</v>
      </c>
      <c r="K49" s="22">
        <f>GiniParent - Candidates[[#This Row],[Weighted Impurity]]</f>
        <v>2.0680147058823595E-3</v>
      </c>
    </row>
    <row r="50" spans="1:11" x14ac:dyDescent="0.3">
      <c r="A50" s="21" t="s">
        <v>76</v>
      </c>
      <c r="B50" s="8" t="s">
        <v>69</v>
      </c>
      <c r="C50" s="8">
        <f>INDEX(Analysis!D15:D23,4)</f>
        <v>14</v>
      </c>
      <c r="D50" s="26" cm="1">
        <f t="array" ref="D50">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f>
        <v>86</v>
      </c>
      <c r="E50" s="8" cm="1">
        <f t="array" ref="E50">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--(Data[Canceled]="Yes")
)</f>
        <v>30</v>
      </c>
      <c r="F50" s="8">
        <f>_xlfn.LET(_xlpm.n,Candidates[[#This Row],[Number Left]], _xlpm.y,Candidates[[#This Row],[Left Canceled]], IF(_xlpm.n=0,0, 1-(_xlpm.y/_xlpm.n)^2-((_xlpm.n-_xlpm.y)/_xlpm.n)^2))</f>
        <v>0.4542996214169821</v>
      </c>
      <c r="G50" s="8" cm="1">
        <f t="array" ref="G50">Np - Candidates[[#This Row],[Number Left]]</f>
        <v>114</v>
      </c>
      <c r="H50" s="8">
        <f>Analysis!B8 - E50</f>
        <v>45</v>
      </c>
      <c r="I50" s="8">
        <f>_xlfn.LET(_xlpm.n,Candidates[[#This Row],[Number Right]], _xlpm.y,Candidates[[#This Row],[Right Canceled]], IF(_xlpm.n=0,0, 1-(_xlpm.y/_xlpm.n)^2-((_xlpm.n-_xlpm.y)/_xlpm.n)^2))</f>
        <v>0.47783933518005539</v>
      </c>
      <c r="J50" s="8">
        <f>IF(Np=0,
   0,
   (Candidates[[#This Row],[Number Left]]/Np)*Candidates[[#This Row],[Gini Left]] + (Candidates[[#This Row],[Number Right]]/Np)*Candidates[[#This Row],[Gini Right]]
)</f>
        <v>0.46771725826193383</v>
      </c>
      <c r="K50" s="22">
        <f>GiniParent - Candidates[[#This Row],[Weighted Impurity]]</f>
        <v>1.0327417380661674E-3</v>
      </c>
    </row>
    <row r="51" spans="1:11" x14ac:dyDescent="0.3">
      <c r="A51" s="21" t="s">
        <v>76</v>
      </c>
      <c r="B51" s="8" t="s">
        <v>70</v>
      </c>
      <c r="C51" s="8">
        <f>INDEX(Analysis!D15:D23,5)</f>
        <v>16</v>
      </c>
      <c r="D51" s="26" cm="1">
        <f t="array" ref="D51">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f>
        <v>101</v>
      </c>
      <c r="E51" s="8" cm="1">
        <f t="array" ref="E51">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--(Data[Canceled]="Yes")
)</f>
        <v>37</v>
      </c>
      <c r="F51" s="8">
        <f>_xlfn.LET(_xlpm.n,Candidates[[#This Row],[Number Left]], _xlpm.y,Candidates[[#This Row],[Left Canceled]], IF(_xlpm.n=0,0, 1-(_xlpm.y/_xlpm.n)^2-((_xlpm.n-_xlpm.y)/_xlpm.n)^2))</f>
        <v>0.46426820899911769</v>
      </c>
      <c r="G51" s="8" cm="1">
        <f t="array" ref="G51">Np - Candidates[[#This Row],[Number Left]]</f>
        <v>99</v>
      </c>
      <c r="H51" s="8">
        <f>Analysis!B8 - E51</f>
        <v>38</v>
      </c>
      <c r="I51" s="8">
        <f>_xlfn.LET(_xlpm.n,Candidates[[#This Row],[Number Right]], _xlpm.y,Candidates[[#This Row],[Right Canceled]], IF(_xlpm.n=0,0, 1-(_xlpm.y/_xlpm.n)^2-((_xlpm.n-_xlpm.y)/_xlpm.n)^2))</f>
        <v>0.47301295786144276</v>
      </c>
      <c r="J51" s="8">
        <f>IF(Np=0,
   0,
   (Candidates[[#This Row],[Number Left]]/Np)*Candidates[[#This Row],[Gini Left]] + (Candidates[[#This Row],[Number Right]]/Np)*Candidates[[#This Row],[Gini Right]]
)</f>
        <v>0.46859685968596865</v>
      </c>
      <c r="K51" s="22">
        <f>GiniParent - Candidates[[#This Row],[Weighted Impurity]]</f>
        <v>1.5314031403135253E-4</v>
      </c>
    </row>
    <row r="52" spans="1:11" x14ac:dyDescent="0.3">
      <c r="A52" s="21" t="s">
        <v>76</v>
      </c>
      <c r="B52" s="8" t="s">
        <v>71</v>
      </c>
      <c r="C52" s="8">
        <f>INDEX(Analysis!D15:D23,6)</f>
        <v>20</v>
      </c>
      <c r="D52" s="26" cm="1">
        <f t="array" ref="D52">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f>
        <v>127</v>
      </c>
      <c r="E52" s="8" cm="1">
        <f t="array" ref="E52">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--(Data[Canceled]="Yes")
)</f>
        <v>48</v>
      </c>
      <c r="F52" s="8">
        <f>_xlfn.LET(_xlpm.n,Candidates[[#This Row],[Number Left]], _xlpm.y,Candidates[[#This Row],[Left Canceled]], IF(_xlpm.n=0,0, 1-(_xlpm.y/_xlpm.n)^2-((_xlpm.n-_xlpm.y)/_xlpm.n)^2))</f>
        <v>0.47020894041788086</v>
      </c>
      <c r="G52" s="8" cm="1">
        <f t="array" ref="G52">Np - Candidates[[#This Row],[Number Left]]</f>
        <v>73</v>
      </c>
      <c r="H52" s="8">
        <f>Analysis!B8 - E52</f>
        <v>27</v>
      </c>
      <c r="I52" s="8">
        <f>_xlfn.LET(_xlpm.n,Candidates[[#This Row],[Number Right]], _xlpm.y,Candidates[[#This Row],[Right Canceled]], IF(_xlpm.n=0,0, 1-(_xlpm.y/_xlpm.n)^2-((_xlpm.n-_xlpm.y)/_xlpm.n)^2))</f>
        <v>0.46612872959279422</v>
      </c>
      <c r="J52" s="8">
        <f>IF(Np=0,
   0,
   (Candidates[[#This Row],[Number Left]]/Np)*Candidates[[#This Row],[Gini Left]] + (Candidates[[#This Row],[Number Right]]/Np)*Candidates[[#This Row],[Gini Right]]
)</f>
        <v>0.46871966346672422</v>
      </c>
      <c r="K52" s="22">
        <f>GiniParent - Candidates[[#This Row],[Weighted Impurity]]</f>
        <v>3.0336533275776567E-5</v>
      </c>
    </row>
    <row r="53" spans="1:11" x14ac:dyDescent="0.3">
      <c r="A53" s="21" t="s">
        <v>76</v>
      </c>
      <c r="B53" s="8" t="s">
        <v>72</v>
      </c>
      <c r="C53" s="8">
        <f>INDEX(Analysis!D15:D23,7)</f>
        <v>22</v>
      </c>
      <c r="D53" s="26" cm="1">
        <f t="array" ref="D53">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f>
        <v>144</v>
      </c>
      <c r="E53" s="8" cm="1">
        <f t="array" ref="E53">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--(Data[Canceled]="Yes")
)</f>
        <v>52</v>
      </c>
      <c r="F53" s="8">
        <f>_xlfn.LET(_xlpm.n,Candidates[[#This Row],[Number Left]], _xlpm.y,Candidates[[#This Row],[Left Canceled]], IF(_xlpm.n=0,0, 1-(_xlpm.y/_xlpm.n)^2-((_xlpm.n-_xlpm.y)/_xlpm.n)^2))</f>
        <v>0.46141975308641986</v>
      </c>
      <c r="G53" s="8" cm="1">
        <f t="array" ref="G53">Np - Candidates[[#This Row],[Number Left]]</f>
        <v>56</v>
      </c>
      <c r="H53" s="8">
        <f>Analysis!B8 - E53</f>
        <v>23</v>
      </c>
      <c r="I53" s="8">
        <f>_xlfn.LET(_xlpm.n,Candidates[[#This Row],[Number Right]], _xlpm.y,Candidates[[#This Row],[Right Canceled]], IF(_xlpm.n=0,0, 1-(_xlpm.y/_xlpm.n)^2-((_xlpm.n-_xlpm.y)/_xlpm.n)^2))</f>
        <v>0.48405612244897961</v>
      </c>
      <c r="J53" s="8">
        <f>IF(Np=0,
   0,
   (Candidates[[#This Row],[Number Left]]/Np)*Candidates[[#This Row],[Gini Left]] + (Candidates[[#This Row],[Number Right]]/Np)*Candidates[[#This Row],[Gini Right]]
)</f>
        <v>0.46775793650793662</v>
      </c>
      <c r="K53" s="22">
        <f>GiniParent - Candidates[[#This Row],[Weighted Impurity]]</f>
        <v>9.9206349206337752E-4</v>
      </c>
    </row>
    <row r="54" spans="1:11" x14ac:dyDescent="0.3">
      <c r="A54" s="21" t="s">
        <v>76</v>
      </c>
      <c r="B54" s="8" t="s">
        <v>73</v>
      </c>
      <c r="C54" s="8">
        <f>INDEX(Analysis!D15:D23,8)</f>
        <v>24</v>
      </c>
      <c r="D54" s="26" cm="1">
        <f t="array" ref="D54">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f>
        <v>162</v>
      </c>
      <c r="E54" s="8" cm="1">
        <f t="array" ref="E54">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--(Data[Canceled]="Yes")
)</f>
        <v>63</v>
      </c>
      <c r="F54" s="8">
        <f>_xlfn.LET(_xlpm.n,Candidates[[#This Row],[Number Left]], _xlpm.y,Candidates[[#This Row],[Left Canceled]], IF(_xlpm.n=0,0, 1-(_xlpm.y/_xlpm.n)^2-((_xlpm.n-_xlpm.y)/_xlpm.n)^2))</f>
        <v>0.47530864197530859</v>
      </c>
      <c r="G54" s="8" cm="1">
        <f t="array" ref="G54">Np - Candidates[[#This Row],[Number Left]]</f>
        <v>38</v>
      </c>
      <c r="H54" s="8">
        <f>Analysis!B8 - E54</f>
        <v>12</v>
      </c>
      <c r="I54" s="8">
        <f>_xlfn.LET(_xlpm.n,Candidates[[#This Row],[Number Right]], _xlpm.y,Candidates[[#This Row],[Right Canceled]], IF(_xlpm.n=0,0, 1-(_xlpm.y/_xlpm.n)^2-((_xlpm.n-_xlpm.y)/_xlpm.n)^2))</f>
        <v>0.4321329639889197</v>
      </c>
      <c r="J54" s="8">
        <f>IF(Np=0,
   0,
   (Candidates[[#This Row],[Number Left]]/Np)*Candidates[[#This Row],[Gini Left]] + (Candidates[[#This Row],[Number Right]]/Np)*Candidates[[#This Row],[Gini Right]]
)</f>
        <v>0.46710526315789475</v>
      </c>
      <c r="K54" s="22">
        <f>GiniParent - Candidates[[#This Row],[Weighted Impurity]]</f>
        <v>1.6447368421052544E-3</v>
      </c>
    </row>
    <row r="55" spans="1:11" x14ac:dyDescent="0.3">
      <c r="A55" s="21" t="s">
        <v>76</v>
      </c>
      <c r="B55" s="8" t="s">
        <v>74</v>
      </c>
      <c r="C55" s="8">
        <f>INDEX(Analysis!D15:D23,9)</f>
        <v>28</v>
      </c>
      <c r="D55" s="26" cm="1">
        <f t="array" ref="D55">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f>
        <v>183</v>
      </c>
      <c r="E55" s="8" cm="1">
        <f t="array" ref="E55">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--(Data[Canceled]="Yes")
)</f>
        <v>71</v>
      </c>
      <c r="F55" s="8">
        <f>_xlfn.LET(_xlpm.n,Candidates[[#This Row],[Number Left]], _xlpm.y,Candidates[[#This Row],[Left Canceled]], IF(_xlpm.n=0,0, 1-(_xlpm.y/_xlpm.n)^2-((_xlpm.n-_xlpm.y)/_xlpm.n)^2))</f>
        <v>0.47490220669473565</v>
      </c>
      <c r="G55" s="8" cm="1">
        <f t="array" ref="G55">Np - Candidates[[#This Row],[Number Left]]</f>
        <v>17</v>
      </c>
      <c r="H55" s="8">
        <f>Analysis!B8 - E55</f>
        <v>4</v>
      </c>
      <c r="I55" s="8">
        <f>_xlfn.LET(_xlpm.n,Candidates[[#This Row],[Number Right]], _xlpm.y,Candidates[[#This Row],[Right Canceled]], IF(_xlpm.n=0,0, 1-(_xlpm.y/_xlpm.n)^2-((_xlpm.n-_xlpm.y)/_xlpm.n)^2))</f>
        <v>0.3598615916955018</v>
      </c>
      <c r="J55" s="8">
        <f>IF(Np=0,
   0,
   (Candidates[[#This Row],[Number Left]]/Np)*Candidates[[#This Row],[Gini Left]] + (Candidates[[#This Row],[Number Right]]/Np)*Candidates[[#This Row],[Gini Right]]
)</f>
        <v>0.46512375441980075</v>
      </c>
      <c r="K55" s="22">
        <f>GiniParent - Candidates[[#This Row],[Weighted Impurity]]</f>
        <v>3.6262455801992499E-3</v>
      </c>
    </row>
    <row r="56" spans="1:11" x14ac:dyDescent="0.3">
      <c r="A56" s="21" t="s">
        <v>77</v>
      </c>
      <c r="B56" s="8" t="s">
        <v>66</v>
      </c>
      <c r="C56" s="8">
        <f>INDEX(Analysis!E15:E23,1)</f>
        <v>1.9000000000000021</v>
      </c>
      <c r="D56" s="26" cm="1">
        <f t="array" ref="D56">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f>
        <v>20</v>
      </c>
      <c r="E56" s="8" cm="1">
        <f t="array" ref="E56">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--(Data[Canceled]="Yes")
)</f>
        <v>9</v>
      </c>
      <c r="F56" s="8">
        <f>_xlfn.LET(_xlpm.n,Candidates[[#This Row],[Number Left]], _xlpm.y,Candidates[[#This Row],[Left Canceled]], IF(_xlpm.n=0,0, 1-(_xlpm.y/_xlpm.n)^2-((_xlpm.n-_xlpm.y)/_xlpm.n)^2))</f>
        <v>0.49499999999999994</v>
      </c>
      <c r="G56" s="8" cm="1">
        <f t="array" ref="G56">Np - Candidates[[#This Row],[Number Left]]</f>
        <v>180</v>
      </c>
      <c r="H56" s="8">
        <f>Analysis!B8 - E56</f>
        <v>66</v>
      </c>
      <c r="I56" s="8">
        <f>_xlfn.LET(_xlpm.n,Candidates[[#This Row],[Number Right]], _xlpm.y,Candidates[[#This Row],[Right Canceled]], IF(_xlpm.n=0,0, 1-(_xlpm.y/_xlpm.n)^2-((_xlpm.n-_xlpm.y)/_xlpm.n)^2))</f>
        <v>0.46444444444444455</v>
      </c>
      <c r="J56" s="8">
        <f>IF(Np=0,
   0,
   (Candidates[[#This Row],[Number Left]]/Np)*Candidates[[#This Row],[Gini Left]] + (Candidates[[#This Row],[Number Right]]/Np)*Candidates[[#This Row],[Gini Right]]
)</f>
        <v>0.46750000000000008</v>
      </c>
      <c r="K56" s="22">
        <f>GiniParent - Candidates[[#This Row],[Weighted Impurity]]</f>
        <v>1.2499999999999178E-3</v>
      </c>
    </row>
    <row r="57" spans="1:11" x14ac:dyDescent="0.3">
      <c r="A57" s="21" t="s">
        <v>77</v>
      </c>
      <c r="B57" s="8" t="s">
        <v>67</v>
      </c>
      <c r="C57" s="8">
        <f>INDEX(Analysis!E15:E23,2)</f>
        <v>12</v>
      </c>
      <c r="D57" s="26" cm="1">
        <f t="array" ref="D57">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f>
        <v>41</v>
      </c>
      <c r="E57" s="8" cm="1">
        <f t="array" ref="E57">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--(Data[Canceled]="Yes")
)</f>
        <v>15</v>
      </c>
      <c r="F57" s="8">
        <f>_xlfn.LET(_xlpm.n,Candidates[[#This Row],[Number Left]], _xlpm.y,Candidates[[#This Row],[Left Canceled]], IF(_xlpm.n=0,0, 1-(_xlpm.y/_xlpm.n)^2-((_xlpm.n-_xlpm.y)/_xlpm.n)^2))</f>
        <v>0.46400951814396191</v>
      </c>
      <c r="G57" s="8" cm="1">
        <f t="array" ref="G57">Np - Candidates[[#This Row],[Number Left]]</f>
        <v>159</v>
      </c>
      <c r="H57" s="8">
        <f>Analysis!B8 - E57</f>
        <v>60</v>
      </c>
      <c r="I57" s="8">
        <f>_xlfn.LET(_xlpm.n,Candidates[[#This Row],[Number Right]], _xlpm.y,Candidates[[#This Row],[Right Canceled]], IF(_xlpm.n=0,0, 1-(_xlpm.y/_xlpm.n)^2-((_xlpm.n-_xlpm.y)/_xlpm.n)^2))</f>
        <v>0.46991812032751867</v>
      </c>
      <c r="J57" s="8">
        <f>IF(Np=0,
   0,
   (Candidates[[#This Row],[Number Left]]/Np)*Candidates[[#This Row],[Gini Left]] + (Candidates[[#This Row],[Number Right]]/Np)*Candidates[[#This Row],[Gini Right]]
)</f>
        <v>0.46870685687988956</v>
      </c>
      <c r="K57" s="22">
        <f>GiniParent - Candidates[[#This Row],[Weighted Impurity]]</f>
        <v>4.3143120110444855E-5</v>
      </c>
    </row>
    <row r="58" spans="1:11" x14ac:dyDescent="0.3">
      <c r="A58" s="21" t="s">
        <v>77</v>
      </c>
      <c r="B58" s="8" t="s">
        <v>68</v>
      </c>
      <c r="C58" s="8">
        <f>INDEX(Analysis!E15:E23,3)</f>
        <v>26</v>
      </c>
      <c r="D58" s="26" cm="1">
        <f t="array" ref="D58">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f>
        <v>62</v>
      </c>
      <c r="E58" s="8" cm="1">
        <f t="array" ref="E58">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--(Data[Canceled]="Yes")
)</f>
        <v>23</v>
      </c>
      <c r="F58" s="8">
        <f>_xlfn.LET(_xlpm.n,Candidates[[#This Row],[Number Left]], _xlpm.y,Candidates[[#This Row],[Left Canceled]], IF(_xlpm.n=0,0, 1-(_xlpm.y/_xlpm.n)^2-((_xlpm.n-_xlpm.y)/_xlpm.n)^2))</f>
        <v>0.46670135275754426</v>
      </c>
      <c r="G58" s="8" cm="1">
        <f t="array" ref="G58">Np - Candidates[[#This Row],[Number Left]]</f>
        <v>138</v>
      </c>
      <c r="H58" s="8">
        <f>Analysis!B8 - E58</f>
        <v>52</v>
      </c>
      <c r="I58" s="8">
        <f>_xlfn.LET(_xlpm.n,Candidates[[#This Row],[Number Right]], _xlpm.y,Candidates[[#This Row],[Right Canceled]], IF(_xlpm.n=0,0, 1-(_xlpm.y/_xlpm.n)^2-((_xlpm.n-_xlpm.y)/_xlpm.n)^2))</f>
        <v>0.46964923335433734</v>
      </c>
      <c r="J58" s="8">
        <f>IF(Np=0,
   0,
   (Candidates[[#This Row],[Number Left]]/Np)*Candidates[[#This Row],[Gini Left]] + (Candidates[[#This Row],[Number Right]]/Np)*Candidates[[#This Row],[Gini Right]]
)</f>
        <v>0.46873539036933143</v>
      </c>
      <c r="K58" s="22">
        <f>GiniParent - Candidates[[#This Row],[Weighted Impurity]]</f>
        <v>1.4609630668571683E-5</v>
      </c>
    </row>
    <row r="59" spans="1:11" x14ac:dyDescent="0.3">
      <c r="A59" s="21" t="s">
        <v>77</v>
      </c>
      <c r="B59" s="8" t="s">
        <v>69</v>
      </c>
      <c r="C59" s="8">
        <f>INDEX(Analysis!E15:E23,4)</f>
        <v>45</v>
      </c>
      <c r="D59" s="26" cm="1">
        <f t="array" ref="D59">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f>
        <v>81</v>
      </c>
      <c r="E59" s="8" cm="1">
        <f t="array" ref="E59">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--(Data[Canceled]="Yes")
)</f>
        <v>33</v>
      </c>
      <c r="F59" s="8">
        <f>_xlfn.LET(_xlpm.n,Candidates[[#This Row],[Number Left]], _xlpm.y,Candidates[[#This Row],[Left Canceled]], IF(_xlpm.n=0,0, 1-(_xlpm.y/_xlpm.n)^2-((_xlpm.n-_xlpm.y)/_xlpm.n)^2))</f>
        <v>0.48285322359396438</v>
      </c>
      <c r="G59" s="8" cm="1">
        <f t="array" ref="G59">Np - Candidates[[#This Row],[Number Left]]</f>
        <v>119</v>
      </c>
      <c r="H59" s="8">
        <f>Analysis!B8 - E59</f>
        <v>42</v>
      </c>
      <c r="I59" s="8">
        <f>_xlfn.LET(_xlpm.n,Candidates[[#This Row],[Number Right]], _xlpm.y,Candidates[[#This Row],[Right Canceled]], IF(_xlpm.n=0,0, 1-(_xlpm.y/_xlpm.n)^2-((_xlpm.n-_xlpm.y)/_xlpm.n)^2))</f>
        <v>0.45674740484429061</v>
      </c>
      <c r="J59" s="8">
        <f>IF(Np=0,
   0,
   (Candidates[[#This Row],[Number Left]]/Np)*Candidates[[#This Row],[Gini Left]] + (Candidates[[#This Row],[Number Right]]/Np)*Candidates[[#This Row],[Gini Right]]
)</f>
        <v>0.4673202614379085</v>
      </c>
      <c r="K59" s="22">
        <f>GiniParent - Candidates[[#This Row],[Weighted Impurity]]</f>
        <v>1.4297385620914982E-3</v>
      </c>
    </row>
    <row r="60" spans="1:11" x14ac:dyDescent="0.3">
      <c r="A60" s="21" t="s">
        <v>77</v>
      </c>
      <c r="B60" s="8" t="s">
        <v>70</v>
      </c>
      <c r="C60" s="8">
        <f>INDEX(Analysis!E15:E23,5)</f>
        <v>55.5</v>
      </c>
      <c r="D60" s="26" cm="1">
        <f t="array" ref="D60">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f>
        <v>100</v>
      </c>
      <c r="E60" s="8" cm="1">
        <f t="array" ref="E60">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--(Data[Canceled]="Yes")
)</f>
        <v>39</v>
      </c>
      <c r="F60" s="8">
        <f>_xlfn.LET(_xlpm.n,Candidates[[#This Row],[Number Left]], _xlpm.y,Candidates[[#This Row],[Left Canceled]], IF(_xlpm.n=0,0, 1-(_xlpm.y/_xlpm.n)^2-((_xlpm.n-_xlpm.y)/_xlpm.n)^2))</f>
        <v>0.4758</v>
      </c>
      <c r="G60" s="8" cm="1">
        <f t="array" ref="G60">Np - Candidates[[#This Row],[Number Left]]</f>
        <v>100</v>
      </c>
      <c r="H60" s="8">
        <f>Analysis!B8 - E60</f>
        <v>36</v>
      </c>
      <c r="I60" s="8">
        <f>_xlfn.LET(_xlpm.n,Candidates[[#This Row],[Number Right]], _xlpm.y,Candidates[[#This Row],[Right Canceled]], IF(_xlpm.n=0,0, 1-(_xlpm.y/_xlpm.n)^2-((_xlpm.n-_xlpm.y)/_xlpm.n)^2))</f>
        <v>0.46080000000000004</v>
      </c>
      <c r="J60" s="8">
        <f>IF(Np=0,
   0,
   (Candidates[[#This Row],[Number Left]]/Np)*Candidates[[#This Row],[Gini Left]] + (Candidates[[#This Row],[Number Right]]/Np)*Candidates[[#This Row],[Gini Right]]
)</f>
        <v>0.46830000000000005</v>
      </c>
      <c r="K60" s="22">
        <f>GiniParent - Candidates[[#This Row],[Weighted Impurity]]</f>
        <v>4.4999999999995044E-4</v>
      </c>
    </row>
    <row r="61" spans="1:11" x14ac:dyDescent="0.3">
      <c r="A61" s="21" t="s">
        <v>77</v>
      </c>
      <c r="B61" s="8" t="s">
        <v>71</v>
      </c>
      <c r="C61" s="8">
        <f>INDEX(Analysis!E15:E23,6)</f>
        <v>71.399999999999991</v>
      </c>
      <c r="D61" s="26" cm="1">
        <f t="array" ref="D61">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f>
        <v>120</v>
      </c>
      <c r="E61" s="8" cm="1">
        <f t="array" ref="E61">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--(Data[Canceled]="Yes")
)</f>
        <v>43</v>
      </c>
      <c r="F61" s="8">
        <f>_xlfn.LET(_xlpm.n,Candidates[[#This Row],[Number Left]], _xlpm.y,Candidates[[#This Row],[Left Canceled]], IF(_xlpm.n=0,0, 1-(_xlpm.y/_xlpm.n)^2-((_xlpm.n-_xlpm.y)/_xlpm.n)^2))</f>
        <v>0.45986111111111105</v>
      </c>
      <c r="G61" s="8" cm="1">
        <f t="array" ref="G61">Np - Candidates[[#This Row],[Number Left]]</f>
        <v>80</v>
      </c>
      <c r="H61" s="8">
        <f>Analysis!B8 - E61</f>
        <v>32</v>
      </c>
      <c r="I61" s="8">
        <f>_xlfn.LET(_xlpm.n,Candidates[[#This Row],[Number Right]], _xlpm.y,Candidates[[#This Row],[Right Canceled]], IF(_xlpm.n=0,0, 1-(_xlpm.y/_xlpm.n)^2-((_xlpm.n-_xlpm.y)/_xlpm.n)^2))</f>
        <v>0.48</v>
      </c>
      <c r="J61" s="8">
        <f>IF(Np=0,
   0,
   (Candidates[[#This Row],[Number Left]]/Np)*Candidates[[#This Row],[Gini Left]] + (Candidates[[#This Row],[Number Right]]/Np)*Candidates[[#This Row],[Gini Right]]
)</f>
        <v>0.46791666666666665</v>
      </c>
      <c r="K61" s="22">
        <f>GiniParent - Candidates[[#This Row],[Weighted Impurity]]</f>
        <v>8.3333333333335258E-4</v>
      </c>
    </row>
    <row r="62" spans="1:11" x14ac:dyDescent="0.3">
      <c r="A62" s="21" t="s">
        <v>77</v>
      </c>
      <c r="B62" s="8" t="s">
        <v>72</v>
      </c>
      <c r="C62" s="8">
        <f>INDEX(Analysis!E15:E23,7)</f>
        <v>84.299999999999983</v>
      </c>
      <c r="D62" s="26" cm="1">
        <f t="array" ref="D62">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f>
        <v>140</v>
      </c>
      <c r="E62" s="8" cm="1">
        <f t="array" ref="E62">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--(Data[Canceled]="Yes")
)</f>
        <v>49</v>
      </c>
      <c r="F62" s="8">
        <f>_xlfn.LET(_xlpm.n,Candidates[[#This Row],[Number Left]], _xlpm.y,Candidates[[#This Row],[Left Canceled]], IF(_xlpm.n=0,0, 1-(_xlpm.y/_xlpm.n)^2-((_xlpm.n-_xlpm.y)/_xlpm.n)^2))</f>
        <v>0.45500000000000002</v>
      </c>
      <c r="G62" s="8" cm="1">
        <f t="array" ref="G62">Np - Candidates[[#This Row],[Number Left]]</f>
        <v>60</v>
      </c>
      <c r="H62" s="8">
        <f>Analysis!B8 - E62</f>
        <v>26</v>
      </c>
      <c r="I62" s="8">
        <f>_xlfn.LET(_xlpm.n,Candidates[[#This Row],[Number Right]], _xlpm.y,Candidates[[#This Row],[Right Canceled]], IF(_xlpm.n=0,0, 1-(_xlpm.y/_xlpm.n)^2-((_xlpm.n-_xlpm.y)/_xlpm.n)^2))</f>
        <v>0.49111111111111111</v>
      </c>
      <c r="J62" s="8">
        <f>IF(Np=0,
   0,
   (Candidates[[#This Row],[Number Left]]/Np)*Candidates[[#This Row],[Gini Left]] + (Candidates[[#This Row],[Number Right]]/Np)*Candidates[[#This Row],[Gini Right]]
)</f>
        <v>0.46583333333333332</v>
      </c>
      <c r="K62" s="22">
        <f>GiniParent - Candidates[[#This Row],[Weighted Impurity]]</f>
        <v>2.9166666666666785E-3</v>
      </c>
    </row>
    <row r="63" spans="1:11" x14ac:dyDescent="0.3">
      <c r="A63" s="21" t="s">
        <v>77</v>
      </c>
      <c r="B63" s="8" t="s">
        <v>73</v>
      </c>
      <c r="C63" s="8">
        <f>INDEX(Analysis!E15:E23,8)</f>
        <v>95.200000000000017</v>
      </c>
      <c r="D63" s="26" cm="1">
        <f t="array" ref="D63">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f>
        <v>160</v>
      </c>
      <c r="E63" s="8" cm="1">
        <f t="array" ref="E63">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--(Data[Canceled]="Yes")
)</f>
        <v>58</v>
      </c>
      <c r="F63" s="8">
        <f>_xlfn.LET(_xlpm.n,Candidates[[#This Row],[Number Left]], _xlpm.y,Candidates[[#This Row],[Left Canceled]], IF(_xlpm.n=0,0, 1-(_xlpm.y/_xlpm.n)^2-((_xlpm.n-_xlpm.y)/_xlpm.n)^2))</f>
        <v>0.46218750000000008</v>
      </c>
      <c r="G63" s="8" cm="1">
        <f t="array" ref="G63">Np - Candidates[[#This Row],[Number Left]]</f>
        <v>40</v>
      </c>
      <c r="H63" s="8">
        <f>Analysis!B8 - E63</f>
        <v>17</v>
      </c>
      <c r="I63" s="8">
        <f>_xlfn.LET(_xlpm.n,Candidates[[#This Row],[Number Right]], _xlpm.y,Candidates[[#This Row],[Right Canceled]], IF(_xlpm.n=0,0, 1-(_xlpm.y/_xlpm.n)^2-((_xlpm.n-_xlpm.y)/_xlpm.n)^2))</f>
        <v>0.48875000000000002</v>
      </c>
      <c r="J63" s="8">
        <f>IF(Np=0,
   0,
   (Candidates[[#This Row],[Number Left]]/Np)*Candidates[[#This Row],[Gini Left]] + (Candidates[[#This Row],[Number Right]]/Np)*Candidates[[#This Row],[Gini Right]]
)</f>
        <v>0.46750000000000008</v>
      </c>
      <c r="K63" s="22">
        <f>GiniParent - Candidates[[#This Row],[Weighted Impurity]]</f>
        <v>1.2499999999999178E-3</v>
      </c>
    </row>
    <row r="64" spans="1:11" x14ac:dyDescent="0.3">
      <c r="A64" s="21" t="s">
        <v>77</v>
      </c>
      <c r="B64" s="8" t="s">
        <v>74</v>
      </c>
      <c r="C64" s="8">
        <f>INDEX(Analysis!E15:E23,9)</f>
        <v>109.1</v>
      </c>
      <c r="D64" s="26" cm="1">
        <f t="array" ref="D64">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f>
        <v>180</v>
      </c>
      <c r="E64" s="8" cm="1">
        <f t="array" ref="E64">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--(Data[Canceled]="Yes")
)</f>
        <v>64</v>
      </c>
      <c r="F64" s="8">
        <f>_xlfn.LET(_xlpm.n,Candidates[[#This Row],[Number Left]], _xlpm.y,Candidates[[#This Row],[Left Canceled]], IF(_xlpm.n=0,0, 1-(_xlpm.y/_xlpm.n)^2-((_xlpm.n-_xlpm.y)/_xlpm.n)^2))</f>
        <v>0.45827160493827157</v>
      </c>
      <c r="G64" s="8" cm="1">
        <f t="array" ref="G64">Np - Candidates[[#This Row],[Number Left]]</f>
        <v>20</v>
      </c>
      <c r="H64" s="8">
        <f>Analysis!B8 - E64</f>
        <v>11</v>
      </c>
      <c r="I64" s="8">
        <f>_xlfn.LET(_xlpm.n,Candidates[[#This Row],[Number Right]], _xlpm.y,Candidates[[#This Row],[Right Canceled]], IF(_xlpm.n=0,0, 1-(_xlpm.y/_xlpm.n)^2-((_xlpm.n-_xlpm.y)/_xlpm.n)^2))</f>
        <v>0.495</v>
      </c>
      <c r="J64" s="8">
        <f>IF(Np=0,
   0,
   (Candidates[[#This Row],[Number Left]]/Np)*Candidates[[#This Row],[Gini Left]] + (Candidates[[#This Row],[Number Right]]/Np)*Candidates[[#This Row],[Gini Right]]
)</f>
        <v>0.46194444444444444</v>
      </c>
      <c r="K64" s="22">
        <f>GiniParent - Candidates[[#This Row],[Weighted Impurity]]</f>
        <v>6.8055555555555647E-3</v>
      </c>
    </row>
    <row r="65" spans="1:11" x14ac:dyDescent="0.3">
      <c r="A65" s="21" t="s">
        <v>20</v>
      </c>
      <c r="B65" s="8" t="s">
        <v>78</v>
      </c>
      <c r="C65" s="8" t="s">
        <v>32</v>
      </c>
      <c r="D65" s="26" cm="1">
        <f t="array" ref="D65">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f>
        <v>61</v>
      </c>
      <c r="E65" s="8" cm="1">
        <f t="array" ref="E65">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--(Data[Canceled]="Yes")
)</f>
        <v>41</v>
      </c>
      <c r="F65" s="8">
        <f>_xlfn.LET(_xlpm.n,Candidates[[#This Row],[Number Left]], _xlpm.y,Candidates[[#This Row],[Left Canceled]], IF(_xlpm.n=0,0, 1-(_xlpm.y/_xlpm.n)^2-((_xlpm.n-_xlpm.y)/_xlpm.n)^2))</f>
        <v>0.44074173609244827</v>
      </c>
      <c r="G65" s="8" cm="1">
        <f t="array" ref="G65">Np - Candidates[[#This Row],[Number Left]]</f>
        <v>139</v>
      </c>
      <c r="H65" s="8">
        <f>Analysis!B8 - E65</f>
        <v>34</v>
      </c>
      <c r="I65" s="8">
        <f>_xlfn.LET(_xlpm.n,Candidates[[#This Row],[Number Right]], _xlpm.y,Candidates[[#This Row],[Right Canceled]], IF(_xlpm.n=0,0, 1-(_xlpm.y/_xlpm.n)^2-((_xlpm.n-_xlpm.y)/_xlpm.n)^2))</f>
        <v>0.36954608974690761</v>
      </c>
      <c r="J65" s="8">
        <f>IF(Np=0,
   0,
   (Candidates[[#This Row],[Number Left]]/Np)*Candidates[[#This Row],[Gini Left]] + (Candidates[[#This Row],[Number Right]]/Np)*Candidates[[#This Row],[Gini Right]]
)</f>
        <v>0.39126076188229747</v>
      </c>
      <c r="K65" s="22">
        <f>GiniParent - Candidates[[#This Row],[Weighted Impurity]]</f>
        <v>7.748923811770253E-2</v>
      </c>
    </row>
    <row r="66" spans="1:11" x14ac:dyDescent="0.3">
      <c r="A66" s="21" t="s">
        <v>21</v>
      </c>
      <c r="B66" s="8" t="s">
        <v>79</v>
      </c>
      <c r="C66" s="8" t="s">
        <v>33</v>
      </c>
      <c r="D66" s="26" cm="1">
        <f t="array" ref="D66">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f>
        <v>57</v>
      </c>
      <c r="E66" s="8" cm="1">
        <f t="array" ref="E66">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--(Data[Canceled]="Yes")
)</f>
        <v>25</v>
      </c>
      <c r="F66" s="8">
        <f>_xlfn.LET(_xlpm.n,Candidates[[#This Row],[Number Left]], _xlpm.y,Candidates[[#This Row],[Left Canceled]], IF(_xlpm.n=0,0, 1-(_xlpm.y/_xlpm.n)^2-((_xlpm.n-_xlpm.y)/_xlpm.n)^2))</f>
        <v>0.49245921822099115</v>
      </c>
      <c r="G66" s="8" cm="1">
        <f t="array" ref="G66">Np - Candidates[[#This Row],[Number Left]]</f>
        <v>143</v>
      </c>
      <c r="H66" s="8">
        <f>Analysis!B8 - E66</f>
        <v>50</v>
      </c>
      <c r="I66" s="8">
        <f>_xlfn.LET(_xlpm.n,Candidates[[#This Row],[Number Right]], _xlpm.y,Candidates[[#This Row],[Right Canceled]], IF(_xlpm.n=0,0, 1-(_xlpm.y/_xlpm.n)^2-((_xlpm.n-_xlpm.y)/_xlpm.n)^2))</f>
        <v>0.45478996527947579</v>
      </c>
      <c r="J66" s="8">
        <f>IF(Np=0,
   0,
   (Candidates[[#This Row],[Number Left]]/Np)*Candidates[[#This Row],[Gini Left]] + (Candidates[[#This Row],[Number Right]]/Np)*Candidates[[#This Row],[Gini Right]]
)</f>
        <v>0.46552570236780766</v>
      </c>
      <c r="K66" s="22">
        <f>GiniParent - Candidates[[#This Row],[Weighted Impurity]]</f>
        <v>3.2242976321923411E-3</v>
      </c>
    </row>
    <row r="67" spans="1:11" x14ac:dyDescent="0.3">
      <c r="A67" s="21" t="s">
        <v>21</v>
      </c>
      <c r="B67" s="8" t="s">
        <v>80</v>
      </c>
      <c r="C67" s="8" t="s">
        <v>31</v>
      </c>
      <c r="D67" s="26" cm="1">
        <f t="array" ref="D67">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f>
        <v>53</v>
      </c>
      <c r="E67" s="8" cm="1">
        <f t="array" ref="E67">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--(Data[Canceled]="Yes")
)</f>
        <v>17</v>
      </c>
      <c r="F67" s="8">
        <f>_xlfn.LET(_xlpm.n,Candidates[[#This Row],[Number Left]], _xlpm.y,Candidates[[#This Row],[Left Canceled]], IF(_xlpm.n=0,0, 1-(_xlpm.y/_xlpm.n)^2-((_xlpm.n-_xlpm.y)/_xlpm.n)^2))</f>
        <v>0.43574225703097191</v>
      </c>
      <c r="G67" s="8" cm="1">
        <f t="array" ref="G67">Np - Candidates[[#This Row],[Number Left]]</f>
        <v>147</v>
      </c>
      <c r="H67" s="8">
        <f>Analysis!B8 - E67</f>
        <v>58</v>
      </c>
      <c r="I67" s="8">
        <f>_xlfn.LET(_xlpm.n,Candidates[[#This Row],[Number Right]], _xlpm.y,Candidates[[#This Row],[Right Canceled]], IF(_xlpm.n=0,0, 1-(_xlpm.y/_xlpm.n)^2-((_xlpm.n-_xlpm.y)/_xlpm.n)^2))</f>
        <v>0.47776389467351565</v>
      </c>
      <c r="J67" s="8">
        <f>IF(Np=0,
   0,
   (Candidates[[#This Row],[Number Left]]/Np)*Candidates[[#This Row],[Gini Left]] + (Candidates[[#This Row],[Number Right]]/Np)*Candidates[[#This Row],[Gini Right]]
)</f>
        <v>0.46662816069824159</v>
      </c>
      <c r="K67" s="22">
        <f>GiniParent - Candidates[[#This Row],[Weighted Impurity]]</f>
        <v>2.1218393017584103E-3</v>
      </c>
    </row>
    <row r="68" spans="1:11" x14ac:dyDescent="0.3">
      <c r="A68" s="21" t="s">
        <v>21</v>
      </c>
      <c r="B68" s="8" t="s">
        <v>81</v>
      </c>
      <c r="C68" s="8" t="s">
        <v>30</v>
      </c>
      <c r="D68" s="26" cm="1">
        <f t="array" ref="D68">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f>
        <v>55</v>
      </c>
      <c r="E68" s="8" cm="1">
        <f t="array" ref="E68">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--(Data[Canceled]="Yes")
)</f>
        <v>19</v>
      </c>
      <c r="F68" s="8">
        <f>_xlfn.LET(_xlpm.n,Candidates[[#This Row],[Number Left]], _xlpm.y,Candidates[[#This Row],[Left Canceled]], IF(_xlpm.n=0,0, 1-(_xlpm.y/_xlpm.n)^2-((_xlpm.n-_xlpm.y)/_xlpm.n)^2))</f>
        <v>0.4522314049586777</v>
      </c>
      <c r="G68" s="8" cm="1">
        <f t="array" ref="G68">Np - Candidates[[#This Row],[Number Left]]</f>
        <v>145</v>
      </c>
      <c r="H68" s="8">
        <f>Analysis!B8 - E68</f>
        <v>56</v>
      </c>
      <c r="I68" s="8">
        <f>_xlfn.LET(_xlpm.n,Candidates[[#This Row],[Number Right]], _xlpm.y,Candidates[[#This Row],[Right Canceled]], IF(_xlpm.n=0,0, 1-(_xlpm.y/_xlpm.n)^2-((_xlpm.n-_xlpm.y)/_xlpm.n)^2))</f>
        <v>0.47410225921521998</v>
      </c>
      <c r="J68" s="8">
        <f>IF(Np=0,
   0,
   (Candidates[[#This Row],[Number Left]]/Np)*Candidates[[#This Row],[Gini Left]] + (Candidates[[#This Row],[Number Right]]/Np)*Candidates[[#This Row],[Gini Right]]
)</f>
        <v>0.46808777429467086</v>
      </c>
      <c r="K68" s="22">
        <f>GiniParent - Candidates[[#This Row],[Weighted Impurity]]</f>
        <v>6.6222570532914471E-4</v>
      </c>
    </row>
    <row r="69" spans="1:11" ht="15" thickBot="1" x14ac:dyDescent="0.35">
      <c r="A69" s="23" t="s">
        <v>21</v>
      </c>
      <c r="B69" s="24" t="s">
        <v>82</v>
      </c>
      <c r="C69" s="24" t="s">
        <v>34</v>
      </c>
      <c r="D69" s="24" cm="1">
        <f t="array" ref="D69">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f>
        <v>35</v>
      </c>
      <c r="E69" s="24" cm="1">
        <f t="array" ref="E69">SUMPRODUCT( (Data[InNode]=1) *
  IF(Candidates[[#This Row],[Predictor]]="Budget",              Data[Budget]              &lt;= Candidates[[#This Row],[Threshold/Category]],
  IF(Candidates[[#This Row],[Predictor]]="Planned Duration", Data[Planned Duration (months)] &lt;= Candidates[[#This Row],[Threshold/Category]],
  IF(Candidates[[#This Row],[Predictor]]="Team Size",           Data[Team Size ('# FTE)]           &lt;= Candidates[[#This Row],[Threshold/Category]],
  IF(Candidates[[#This Row],[Predictor]]="Schedule Overage",  Data[Schedule Overage (days)]  &lt;= Candidates[[#This Row],[Threshold/Category]],
  IF(Candidates[[#This Row],[Predictor]]="Key Staff Turnover",      Data[Key Staff Turnover]="Yes",
  IF(Candidates[[#This Row],[Predictor]]="Project Type",            Data[Project Type]=Candidates[[#This Row],[Threshold/Category]],
  FALSE)))))),
  --(Data[Canceled]="Yes")
)</f>
        <v>14</v>
      </c>
      <c r="F69" s="24">
        <f>_xlfn.LET(_xlpm.n,Candidates[[#This Row],[Number Left]], _xlpm.y,Candidates[[#This Row],[Left Canceled]], IF(_xlpm.n=0,0, 1-(_xlpm.y/_xlpm.n)^2-((_xlpm.n-_xlpm.y)/_xlpm.n)^2))</f>
        <v>0.48</v>
      </c>
      <c r="G69" s="24" cm="1">
        <f t="array" ref="G69">Np - Candidates[[#This Row],[Number Left]]</f>
        <v>165</v>
      </c>
      <c r="H69" s="24">
        <f>Analysis!B8 - E69</f>
        <v>61</v>
      </c>
      <c r="I69" s="24">
        <f>_xlfn.LET(_xlpm.n,Candidates[[#This Row],[Number Right]], _xlpm.y,Candidates[[#This Row],[Right Canceled]], IF(_xlpm.n=0,0, 1-(_xlpm.y/_xlpm.n)^2-((_xlpm.n-_xlpm.y)/_xlpm.n)^2))</f>
        <v>0.46604224058769517</v>
      </c>
      <c r="J69" s="24">
        <f>IF(Np=0,
   0,
   (Candidates[[#This Row],[Number Left]]/Np)*Candidates[[#This Row],[Gini Left]] + (Candidates[[#This Row],[Number Right]]/Np)*Candidates[[#This Row],[Gini Right]]
)</f>
        <v>0.4684848484848485</v>
      </c>
      <c r="K69" s="25">
        <f>GiniParent - Candidates[[#This Row],[Weighted Impurity]]</f>
        <v>2.6515151515149604E-4</v>
      </c>
    </row>
  </sheetData>
  <mergeCells count="8">
    <mergeCell ref="A27:K27"/>
    <mergeCell ref="A6:B6"/>
    <mergeCell ref="C4:E4"/>
    <mergeCell ref="C2:K2"/>
    <mergeCell ref="A1:K1"/>
    <mergeCell ref="A12:E12"/>
    <mergeCell ref="A13:E13"/>
    <mergeCell ref="A26:K26"/>
  </mergeCells>
  <pageMargins left="0.75" right="0.75" top="1" bottom="1" header="0.5" footer="0.5"/>
  <drawing r:id="rId1"/>
  <tableParts count="2">
    <tablePart r:id="rId2"/>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sheetPr>
  <dimension ref="A1:M21"/>
  <sheetViews>
    <sheetView showGridLines="0" workbookViewId="0">
      <selection sqref="A1:M1"/>
    </sheetView>
  </sheetViews>
  <sheetFormatPr defaultColWidth="8.88671875" defaultRowHeight="14.4" x14ac:dyDescent="0.3"/>
  <cols>
    <col min="1" max="2" width="22.33203125" style="7" customWidth="1"/>
    <col min="3" max="4" width="8.88671875" style="7"/>
    <col min="5" max="5" width="31.6640625" style="7" customWidth="1"/>
    <col min="6" max="7" width="19" style="7" customWidth="1"/>
    <col min="8" max="8" width="16.6640625" style="7" customWidth="1"/>
    <col min="9" max="9" width="18.88671875" style="7" customWidth="1"/>
    <col min="10" max="11" width="12.109375" style="7" customWidth="1"/>
    <col min="12" max="16384" width="8.88671875" style="7"/>
  </cols>
  <sheetData>
    <row r="1" spans="1:13" ht="48" customHeight="1" thickBot="1" x14ac:dyDescent="0.35">
      <c r="A1" s="138" t="s">
        <v>9</v>
      </c>
      <c r="B1" s="139"/>
      <c r="C1" s="139"/>
      <c r="D1" s="139"/>
      <c r="E1" s="139"/>
      <c r="F1" s="139"/>
      <c r="G1" s="139"/>
      <c r="H1" s="139"/>
      <c r="I1" s="139"/>
      <c r="J1" s="139"/>
      <c r="K1" s="139"/>
      <c r="L1" s="139"/>
      <c r="M1" s="139"/>
    </row>
    <row r="2" spans="1:13" ht="69" customHeight="1" thickBot="1" x14ac:dyDescent="0.35">
      <c r="A2" s="54"/>
      <c r="B2" s="55"/>
      <c r="C2" s="105" t="s">
        <v>83</v>
      </c>
      <c r="D2" s="105"/>
      <c r="E2" s="105"/>
      <c r="F2" s="105"/>
      <c r="G2" s="105"/>
      <c r="H2" s="105"/>
      <c r="I2" s="105"/>
      <c r="J2" s="105"/>
      <c r="K2" s="105"/>
      <c r="L2" s="105"/>
      <c r="M2" s="106"/>
    </row>
    <row r="3" spans="1:13" s="33" customFormat="1" ht="16.2" thickBot="1" x14ac:dyDescent="0.35"/>
    <row r="4" spans="1:13" s="33" customFormat="1" ht="19.2" customHeight="1" thickBot="1" x14ac:dyDescent="0.35">
      <c r="A4" s="34" t="s">
        <v>36</v>
      </c>
      <c r="B4" s="37" t="s">
        <v>84</v>
      </c>
    </row>
    <row r="5" spans="1:13" s="33" customFormat="1" ht="19.2" customHeight="1" thickBot="1" x14ac:dyDescent="0.35"/>
    <row r="6" spans="1:13" s="33" customFormat="1" ht="19.2" customHeight="1" x14ac:dyDescent="0.3">
      <c r="A6" s="41" t="s">
        <v>41</v>
      </c>
      <c r="B6" s="38" t="str">
        <f>Analysis!E8</f>
        <v>Key Staff Turnover</v>
      </c>
      <c r="E6" s="141" t="s">
        <v>85</v>
      </c>
      <c r="F6" s="142"/>
      <c r="G6" s="142"/>
      <c r="H6" s="142"/>
      <c r="I6" s="142"/>
      <c r="J6" s="142"/>
      <c r="K6" s="143"/>
    </row>
    <row r="7" spans="1:13" s="33" customFormat="1" ht="19.2" customHeight="1" thickBot="1" x14ac:dyDescent="0.35">
      <c r="A7" s="42" t="s">
        <v>42</v>
      </c>
      <c r="B7" s="39" t="str">
        <f>Analysis!F8</f>
        <v>"=Yes"</v>
      </c>
      <c r="E7" s="51"/>
      <c r="F7" s="84"/>
      <c r="G7" s="73"/>
      <c r="H7" s="83" t="s">
        <v>86</v>
      </c>
      <c r="I7" s="83" t="s">
        <v>87</v>
      </c>
      <c r="J7" s="83" t="s">
        <v>88</v>
      </c>
      <c r="K7" s="52" t="s">
        <v>89</v>
      </c>
    </row>
    <row r="8" spans="1:13" s="33" customFormat="1" ht="19.2" customHeight="1" thickBot="1" x14ac:dyDescent="0.35">
      <c r="A8" s="43" t="s">
        <v>43</v>
      </c>
      <c r="B8" s="40" t="str">
        <f>Analysis!G8</f>
        <v>Yes</v>
      </c>
      <c r="E8" s="35" t="s">
        <v>90</v>
      </c>
      <c r="F8" s="49" t="s">
        <v>20</v>
      </c>
      <c r="G8" s="73" t="s">
        <v>91</v>
      </c>
      <c r="H8" s="85" cm="1">
        <f t="array" ref="H8">SUMPRODUCT((IF(root_pred="Budget", Data[Budget]&lt;=root_thresh,IF(root_pred="Planned Duration", Data[Planned Duration (months)]&lt;=root_thresh,IF(root_pred="Team Size FTE", Data[Team Size ('# FTE)]&lt;=root_thresh,IF(root_pred="Schedule Overage", Data[Schedule Overage (days)]&lt;=root_thresh,IF(root_pred="Key Staff Turnover", Data[Key Staff Turnover]=root_thresh,IF(root_pred="Project Type", Data[Project Type]=root_thresh, FALSE)))))))*1)</f>
        <v>61</v>
      </c>
      <c r="I8" s="85" cm="1">
        <f t="array" ref="I8">SUMPRODUCT((IF(root_pred="Budget", Data[Budget]&lt;=root_thresh,IF(root_pred="Planned Duration", Data[Planned Duration (months)]&lt;=root_thresh,IF(root_pred="Team Size FTE", Data[Team Size ('# FTE)]&lt;=root_thresh,IF(root_pred="Schedule Overage", Data[Schedule Overage (days)]&lt;=root_thresh,IF(root_pred="Key Staff Turnover", Data[Key Staff Turnover]=root_thresh,IF(root_pred="Project Type", Data[Project Type]=root_thresh, FALSE)))))))*(Data[Canceled]="Yes"))</f>
        <v>41</v>
      </c>
      <c r="J8" s="85" t="str">
        <f>IF(H8=M120,"No", IF(I8&gt;=H8/2,"Yes","No"))</f>
        <v>Yes</v>
      </c>
      <c r="K8" s="86">
        <f>IF(H8=0,"",I8/H8)</f>
        <v>0.67213114754098358</v>
      </c>
    </row>
    <row r="9" spans="1:13" s="33" customFormat="1" ht="19.2" customHeight="1" thickBot="1" x14ac:dyDescent="0.35">
      <c r="E9" s="35" t="s">
        <v>92</v>
      </c>
      <c r="F9" s="50" t="s">
        <v>32</v>
      </c>
      <c r="G9" s="73" t="s">
        <v>93</v>
      </c>
      <c r="H9" s="85">
        <f>ROWS(Data[Canceled]) - H8</f>
        <v>139</v>
      </c>
      <c r="I9" s="85">
        <f>COUNTIF(Data[Canceled],"Yes") - I8</f>
        <v>34</v>
      </c>
      <c r="J9" s="85" t="str">
        <f>IF(H9=0,"No", IF(I9&gt;=H9/2,"Yes","No"))</f>
        <v>No</v>
      </c>
      <c r="K9" s="86">
        <f>IF(H9=0,"",I9/H9)</f>
        <v>0.2446043165467626</v>
      </c>
    </row>
    <row r="10" spans="1:13" s="33" customFormat="1" ht="19.2" customHeight="1" thickBot="1" x14ac:dyDescent="0.35">
      <c r="A10" s="140" t="s">
        <v>94</v>
      </c>
      <c r="B10" s="140"/>
      <c r="E10" s="35"/>
      <c r="F10" s="84"/>
      <c r="G10" s="73"/>
      <c r="H10" s="84"/>
      <c r="I10" s="84"/>
      <c r="J10" s="84"/>
      <c r="K10" s="53"/>
    </row>
    <row r="11" spans="1:13" s="33" customFormat="1" ht="19.2" customHeight="1" x14ac:dyDescent="0.3">
      <c r="A11" s="44" t="s">
        <v>95</v>
      </c>
      <c r="B11" s="45" cm="1">
        <f t="array" ref="B11">SUMPRODUCT((Data[InNode]=1)*(IF(Best_Predictor="Budget", Data[Budget]&lt;=Best_Threshold,IF(Best_Predictor="Planned Duration", Data[Planned Duration (months)]&lt;=Best_Threshold,IF(Best_Predictor="Team Size", Data[Team Size ('# FTE)]&lt;=Best_Threshold,IF(Best_Predictor="Schedule Overage", Data[Schedule Overage (days)]&lt;=Best_Threshold,IF(Best_Predictor="Key Staff Turnover", Data[Key Staff Turnover]="Yes",IF(Best_Predictor="Project Type", Data[Project Type]=Best_Threshold, FALSE)))))))*1)</f>
        <v>61</v>
      </c>
      <c r="E11" s="35" t="s">
        <v>96</v>
      </c>
      <c r="F11" s="49" t="s">
        <v>75</v>
      </c>
      <c r="G11" s="73" t="s">
        <v>91</v>
      </c>
      <c r="H11" s="85" cm="1">
        <f t="array" ref="H11">SUMPRODUCT((IF(root_pred="Budget", Data[Budget]&lt;=root_thresh,IF(root_pred="Planned Duration", Data[Planned Duration (months)]&lt;=root_thresh,IF(root_pred="Team Size", Data[Team Size ('# FTE)]&lt;=root_thresh,IF(root_pred="Schedule Overage", Data[Schedule Overage (days)]&lt;=root_thresh,IF(root_pred="Key Staff Turnover", Data[Key Staff Turnover]=root_thresh,IF(root_pred="Project Type", Data[Project Type]=root_thresh, FALSE)))))))*(IF(left_pred="Budget", Data[Budget]&lt;=left_thresh,IF(left_pred="Planned Duration", Data[Planned Duration (months)]&lt;=left_thresh,IF(left_pred="Team Size FTE", Data[Team Size ('# FTE)]&lt;=left_thresh,IF(left_pred="Schedule Overage", Data[Schedule Overage (days)]&lt;=left_thresh,IF(left_pred="Key Staff Turnover", Data[Key Staff Turnover]=left_thresh,IF(left_pred="Project Type", Data[Project Type]=left_thresh, FALSE)))))))*1)</f>
        <v>37</v>
      </c>
      <c r="I11" s="85" cm="1">
        <f t="array" ref="I11">SUMPRODUCT((IF(root_pred="Budget", Data[Budget]&lt;=root_thresh,IF(root_pred="Planned Duration", Data[Planned Duration (months)]&lt;=root_thresh,IF(root_pred="Team Size", Data[Team Size ('# FTE)]&lt;=root_thresh,IF(root_pred="Schedule Overage", Data[Schedule Overage (days)]&lt;=root_thresh,IF(root_pred="Key Staff Turnover", Data[Key Staff Turnover]=root_thresh,IF(root_pred="Project Type", Data[Project Type]=root_thresh, FALSE)))))))*(IF(left_pred="Budget", Data[Budget]&lt;=left_thresh,IF(left_pred="Planned Duration", Data[Planned Duration (months)]&lt;=left_thresh,IF(left_pred="Team Size FTE", Data[Team Size ('# FTE)]&lt;=left_thresh,IF(left_pred="Schedule Overage", Data[Schedule Overage (days)]&lt;=left_thresh,IF(left_pred="Key Staff Turnover", Data[Key Staff Turnover]=left_thresh,IF(left_pred="Project Type", Data[Project Type]=left_thresh, FALSE)))))))*(Data[Canceled]="Yes"))</f>
        <v>31</v>
      </c>
      <c r="J11" s="85" t="str">
        <f>IF(H11=0,"No", IF(I11&gt;=H11/2,"Yes","No"))</f>
        <v>Yes</v>
      </c>
      <c r="K11" s="86">
        <f>IF(H11=0,"",I11/H11)</f>
        <v>0.83783783783783783</v>
      </c>
    </row>
    <row r="12" spans="1:13" s="33" customFormat="1" ht="19.2" customHeight="1" thickBot="1" x14ac:dyDescent="0.35">
      <c r="A12" s="46" t="s">
        <v>97</v>
      </c>
      <c r="B12" s="47" cm="1">
        <f t="array" ref="B12">SUMPRODUCT((Data[InNode]=1)*(IF(Best_Predictor="Budget", Data[Budget]&lt;=Best_Threshold,IF(Best_Predictor="Planned Duration", Data[Planned Duration (months)]&lt;=Best_Threshold,IF(Best_Predictor="Team Size", Data[Team Size ('# FTE)]&lt;=Best_Threshold,IF(Best_Predictor="Schedule Overage", Data[Schedule Overage (days)]&lt;=Best_Threshold,IF(Best_Predictor="Key Staff Turnover", Data[Key Staff Turnover]="Yes",IF(Best_Predictor="Project Type", Data[Project Type]=Best_Threshold, FALSE)))))))*(Data[Canceled]="Yes"))</f>
        <v>41</v>
      </c>
      <c r="E12" s="35" t="s">
        <v>98</v>
      </c>
      <c r="F12" s="50">
        <v>13</v>
      </c>
      <c r="G12" s="73" t="s">
        <v>93</v>
      </c>
      <c r="H12" s="85" cm="1">
        <f t="array" ref="H12">SUMPRODUCT((IF(root_pred="Budget", Data[Budget]&lt;=root_thresh,IF(root_pred="Planned Duration", Data[Planned Duration (months)]&lt;=root_thresh,IF(root_pred="Team Size", Data[Team Size ('# FTE)]&lt;=root_thresh,IF(root_pred="Schedule Overage", Data[Schedule Overage (days)]&lt;=root_thresh,IF(root_pred="Key Staff Turnover", Data[Key Staff Turnover]=root_thresh,IF(root_pred="Project Type", Data[Project Type]=root_thresh, FALSE)))))))*(1-(IF(left_pred="Budget", Data[Budget]&lt;=left_thresh,IF(left_pred="Planned Duration", Data[Planned Duration (months)]&lt;=left_thresh,IF(left_pred="Team Size FTE", Data[Team Size ('# FTE)]&lt;=left_thresh,IF(left_pred="Schedule Overage", Data[Schedule Overage (days)]&lt;=left_thresh,IF(left_pred="Key Staff Turnover", Data[Key Staff Turnover]=left_thresh,IF(left_pred="Project Type", Data[Project Type]=left_thresh, FALSE))))))))*1)</f>
        <v>24</v>
      </c>
      <c r="I12" s="85" cm="1">
        <f t="array" ref="I12">SUMPRODUCT((IF(root_pred="Budget", Data[Budget]&lt;=root_thresh,IF(root_pred="Planned Duration", Data[Planned Duration (months)]&lt;=root_thresh,IF(root_pred="Team Size", Data[Team Size ('# FTE)]&lt;=root_thresh,IF(root_pred="Schedule Overage", Data[Schedule Overage (days)]&lt;=root_thresh,IF(root_pred="Key Staff Turnover", Data[Key Staff Turnover]=root_thresh,IF(root_pred="Project Type", Data[Project Type]=root_thresh, FALSE)))))))*(1-(IF(left_pred="Budget", Data[Budget]&lt;=left_thresh,IF(left_pred="Planned Duration", Data[Planned Duration (months)]&lt;=left_thresh,IF(left_pred="Team Size FTE", Data[Team Size ('# FTE)]&lt;=left_thresh,IF(left_pred="Schedule Overage", Data[Schedule Overage (days)]&lt;=left_thresh,IF(left_pred="Key Staff Turnover", Data[Key Staff Turnover]=left_thresh,IF(left_pred="Project Type", Data[Project Type]=left_thresh, FALSE))))))))*(Data[Canceled]="Yes"))</f>
        <v>10</v>
      </c>
      <c r="J12" s="85" t="str">
        <f>IF(H12=0,"No", IF(I12&gt;=H12/2,"Yes","No"))</f>
        <v>No</v>
      </c>
      <c r="K12" s="86">
        <f>IF(H12=0,"",I12/H12)</f>
        <v>0.41666666666666669</v>
      </c>
    </row>
    <row r="13" spans="1:13" s="33" customFormat="1" ht="19.2" customHeight="1" thickBot="1" x14ac:dyDescent="0.35">
      <c r="A13" s="30" t="s">
        <v>99</v>
      </c>
      <c r="B13" s="48" t="str">
        <f>IF(Left_N=0,"No", IF(Left_Y&gt;=Left_N/2,"Yes","No"))</f>
        <v>Yes</v>
      </c>
      <c r="E13" s="35"/>
      <c r="F13" s="84"/>
      <c r="G13" s="73"/>
      <c r="H13" s="84"/>
      <c r="I13" s="84"/>
      <c r="J13" s="84"/>
      <c r="K13" s="53"/>
    </row>
    <row r="14" spans="1:13" s="33" customFormat="1" ht="19.2" customHeight="1" x14ac:dyDescent="0.3">
      <c r="A14" s="92" t="s">
        <v>100</v>
      </c>
      <c r="B14" s="45">
        <f>Np - B11</f>
        <v>139</v>
      </c>
      <c r="E14" s="35" t="s">
        <v>101</v>
      </c>
      <c r="F14" s="49" t="s">
        <v>16</v>
      </c>
      <c r="G14" s="73" t="s">
        <v>91</v>
      </c>
      <c r="H14" s="85" cm="1">
        <f t="array" ref="H14">SUMPRODUCT((1-(IF(root_pred="Budget", Data[Budget]&lt;=root_thresh,IF(root_pred="Planned Duration", Data[Planned Duration (months)]&lt;=root_thresh,IF(root_pred="Team Size", Data[Team Size ('# FTE)]&lt;=root_thresh,IF(root_pred="Schedule Overage", Data[Schedule Overage (days)]&lt;=root_thresh,IF(root_pred="Key Staff Turnover", Data[Key Staff Turnover]=root_thresh,IF(root_pred="Project Type", Data[Project Type]=root_thresh, FALSE))))))))*(IF(right_pred="Budget", Data[Budget]&lt;=right_thresh,IF(right_pred="Planned Duration", Data[Planned Duration (months)]&lt;=right_thresh,IF(right_pred="Team Size FTE", Data[Team Size ('# FTE)]&lt;=right_thresh,IF(right_pred="Schedule Overage", Data[Schedule Overage (days)]&lt;=right_thresh,IF(right_pred="Key Staff Turnover", Data[Key Staff Turnover]=right_thresh,IF(right_pred="Project Type", Data[Project Type]=right_thresh, FALSE)))))))*1)</f>
        <v>31</v>
      </c>
      <c r="I14" s="85" cm="1">
        <f t="array" ref="I14">SUMPRODUCT((1-(IF(root_pred="Budget", Data[Budget]&lt;=root_thresh,IF(root_pred="Planned Duration", Data[Planned Duration (months)]&lt;=root_thresh,IF(root_pred="Team Size", Data[Team Size ('# FTE)]&lt;=root_thresh,IF(root_pred="Schedule Overage", Data[Schedule Overage (days)]&lt;=root_thresh,IF(root_pred="Key Staff Turnover", Data[Key Staff Turnover]=root_thresh,IF(root_pred="Project Type", Data[Project Type]=root_thresh, FALSE))))))))*(IF(right_pred="Budget", Data[Budget]&lt;=right_thresh,IF(right_pred="Planned Duration", Data[Planned Duration (months)]&lt;=right_thresh,IF(right_pred="Team Size FTE", Data[Team Size ('# FTE)]&lt;=right_thresh,IF(right_pred="Schedule Overage", Data[Schedule Overage (days)]&lt;=right_thresh,IF(right_pred="Key Staff Turnover", Data[Key Staff Turnover]=right_thresh,IF(right_pred="Project Type", Data[Project Type]=right_thresh, FALSE)))))))*(Data[Canceled]="Yes"))</f>
        <v>18</v>
      </c>
      <c r="J14" s="85" t="str">
        <f>IF(H14=0,"No", IF(I14&gt;=H14/2,"Yes","No"))</f>
        <v>Yes</v>
      </c>
      <c r="K14" s="86">
        <f>IF(H14=0,"",I14/H14)</f>
        <v>0.58064516129032262</v>
      </c>
    </row>
    <row r="15" spans="1:13" s="33" customFormat="1" ht="19.2" customHeight="1" thickBot="1" x14ac:dyDescent="0.35">
      <c r="A15" s="93" t="s">
        <v>102</v>
      </c>
      <c r="B15" s="47">
        <f>Np_Yes - B12</f>
        <v>34</v>
      </c>
      <c r="E15" s="36" t="s">
        <v>103</v>
      </c>
      <c r="F15" s="50">
        <v>700000</v>
      </c>
      <c r="G15" s="56" t="s">
        <v>93</v>
      </c>
      <c r="H15" s="31" cm="1">
        <f t="array" ref="H15">SUMPRODUCT((1-(IF(root_pred="Budget", Data[Budget]&lt;=root_thresh,IF(root_pred="Planned Duration", Data[Planned Duration (months)]&lt;=root_thresh,IF(root_pred="Team Size", Data[Team Size ('# FTE)]&lt;=root_thresh,IF(root_pred="Schedule Overage", Data[Schedule Overage (days)]&lt;=root_thresh,IF(root_pred="Key Staff Turnover", Data[Key Staff Turnover]=root_thresh,IF(root_pred="Project Type", Data[Project Type]=root_thresh, FALSE))))))))*(1-(IF(right_pred="Budget", Data[Budget]&lt;=right_thresh,IF(right_pred="Planned Duration", Data[Planned Duration (months)]&lt;=right_thresh,IF(right_pred="Team Size FTE", Data[Team Size ('# FTE)]&lt;=right_thresh,IF(right_pred="Schedule Overage", Data[Schedule Overage (days)]&lt;=right_thresh,IF(right_pred="Key Staff Turnover", Data[Key Staff Turnover]=right_thresh,IF(right_pred="Project Type", Data[Project Type]=right_thresh, FALSE))))))))*1)</f>
        <v>108</v>
      </c>
      <c r="I15" s="31" cm="1">
        <f t="array" ref="I15">SUMPRODUCT((1-(IF(root_pred="Budget", Data[Budget]&lt;=root_thresh,IF(root_pred="Planned Duration", Data[Planned Duration (months)]&lt;=root_thresh,IF(root_pred="Team Size", Data[Team Size ('# FTE)]&lt;=root_thresh,IF(root_pred="Schedule Overage", Data[Schedule Overage (days)]&lt;=root_thresh,IF(root_pred="Key Staff Turnover", Data[Key Staff Turnover]=root_thresh,IF(root_pred="Project Type", Data[Project Type]=root_thresh, FALSE))))))))*(1-(IF(right_pred="Budget", Data[Budget]&lt;=right_thresh,IF(right_pred="Planned Duration", Data[Planned Duration (months)]&lt;=right_thresh,IF(right_pred="Team Size FTE", Data[Team Size ('# FTE)]&lt;=right_thresh,IF(right_pred="Schedule Overage", Data[Schedule Overage (days)]&lt;=right_thresh,IF(right_pred="Key Staff Turnover", Data[Key Staff Turnover]=right_thresh,IF(right_pred="Project Type", Data[Project Type]=right_thresh, FALSE))))))))*(Data[Canceled]="Yes"))</f>
        <v>16</v>
      </c>
      <c r="J15" s="31" t="str">
        <f>IF(H15=0,"No", IF(I15&gt;=H15/2,"Yes","No"))</f>
        <v>No</v>
      </c>
      <c r="K15" s="87">
        <f>IF(H15=0,"",I15/H15)</f>
        <v>0.14814814814814814</v>
      </c>
    </row>
    <row r="16" spans="1:13" s="33" customFormat="1" ht="19.2" customHeight="1" thickBot="1" x14ac:dyDescent="0.35">
      <c r="A16" s="94" t="s">
        <v>104</v>
      </c>
      <c r="B16" s="48" t="str">
        <f>IF(Right_N=0,"No", IF(Right_Y&gt;=Right_N/2,"Yes","No"))</f>
        <v>No</v>
      </c>
    </row>
    <row r="17" spans="5:11" s="33" customFormat="1" ht="15.6" x14ac:dyDescent="0.3"/>
    <row r="18" spans="5:11" s="33" customFormat="1" ht="15.6" x14ac:dyDescent="0.3"/>
    <row r="19" spans="5:11" s="33" customFormat="1" ht="15.6" x14ac:dyDescent="0.3"/>
    <row r="20" spans="5:11" s="33" customFormat="1" ht="15.6" x14ac:dyDescent="0.3"/>
    <row r="21" spans="5:11" ht="15.6" x14ac:dyDescent="0.3">
      <c r="E21" s="33"/>
      <c r="F21" s="33"/>
      <c r="G21" s="33"/>
      <c r="H21" s="33"/>
      <c r="I21" s="33"/>
      <c r="J21" s="33"/>
      <c r="K21" s="33"/>
    </row>
  </sheetData>
  <mergeCells count="4">
    <mergeCell ref="A1:M1"/>
    <mergeCell ref="A10:B10"/>
    <mergeCell ref="C2:M2"/>
    <mergeCell ref="E6:K6"/>
  </mergeCells>
  <dataValidations count="1">
    <dataValidation type="list" allowBlank="1" showInputMessage="1" showErrorMessage="1" sqref="B4" xr:uid="{0389D25A-0EFC-4082-A80E-FD772A268178}">
      <formula1>"Root,Left,Right"</formula1>
    </dataValidation>
  </dataValidations>
  <pageMargins left="0.75" right="0.75" top="1" bottom="1" header="0.5" footer="0.5"/>
  <drawing r:id="rId1"/>
  <extLst>
    <ext xmlns:x14="http://schemas.microsoft.com/office/spreadsheetml/2009/9/main" uri="{CCE6A557-97BC-4b89-ADB6-D9C93CAAB3DF}">
      <x14:dataValidations xmlns:xm="http://schemas.microsoft.com/office/excel/2006/main" count="2">
        <x14:dataValidation type="list" allowBlank="1" showInputMessage="1" showErrorMessage="1" xr:uid="{24B523E1-07F5-4A94-BD34-9EB4AC373C8C}">
          <x14:formula1>
            <xm:f>Analysis!$A$29:$A$69</xm:f>
          </x14:formula1>
          <xm:sqref>F8 F14 F11</xm:sqref>
        </x14:dataValidation>
        <x14:dataValidation type="list" allowBlank="1" showInputMessage="1" showErrorMessage="1" xr:uid="{08C9F27D-974C-4CE6-B252-15D5C405C7B1}">
          <x14:formula1>
            <xm:f>Analysis!$C$29:$C$69</xm:f>
          </x14:formula1>
          <xm:sqref>F9 F15 F12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59999389629810485"/>
  </sheetPr>
  <dimension ref="A1:Q46"/>
  <sheetViews>
    <sheetView showGridLines="0" zoomScaleNormal="100" workbookViewId="0">
      <selection sqref="A1:Q1"/>
    </sheetView>
  </sheetViews>
  <sheetFormatPr defaultRowHeight="14.4" customHeight="1" x14ac:dyDescent="0.3"/>
  <cols>
    <col min="1" max="1" width="6.6640625" customWidth="1"/>
    <col min="2" max="16" width="9.88671875" customWidth="1"/>
    <col min="17" max="17" width="6.6640625" customWidth="1"/>
  </cols>
  <sheetData>
    <row r="1" spans="1:17" ht="48" customHeight="1" thickBot="1" x14ac:dyDescent="0.35">
      <c r="A1" s="138" t="s">
        <v>11</v>
      </c>
      <c r="B1" s="139"/>
      <c r="C1" s="139"/>
      <c r="D1" s="139"/>
      <c r="E1" s="139"/>
      <c r="F1" s="139"/>
      <c r="G1" s="139"/>
      <c r="H1" s="139"/>
      <c r="I1" s="139"/>
      <c r="J1" s="139"/>
      <c r="K1" s="139"/>
      <c r="L1" s="139"/>
      <c r="M1" s="139"/>
      <c r="N1" s="139"/>
      <c r="O1" s="139"/>
      <c r="P1" s="139"/>
      <c r="Q1" s="139"/>
    </row>
    <row r="2" spans="1:17" ht="69.599999999999994" customHeight="1" thickBot="1" x14ac:dyDescent="0.35">
      <c r="A2" s="3"/>
      <c r="B2" s="4"/>
      <c r="C2" s="5"/>
      <c r="D2" s="4"/>
      <c r="E2" s="6"/>
      <c r="F2" s="223" t="s">
        <v>105</v>
      </c>
      <c r="G2" s="223"/>
      <c r="H2" s="223"/>
      <c r="I2" s="223"/>
      <c r="J2" s="223"/>
      <c r="K2" s="223"/>
      <c r="L2" s="223"/>
      <c r="M2" s="223"/>
      <c r="N2" s="223"/>
      <c r="O2" s="223"/>
      <c r="P2" s="223"/>
      <c r="Q2" s="224"/>
    </row>
    <row r="3" spans="1:17" ht="18" customHeight="1" thickBot="1" x14ac:dyDescent="0.35"/>
    <row r="4" spans="1:17" s="8" customFormat="1" ht="24" customHeight="1" thickBot="1" x14ac:dyDescent="0.35">
      <c r="B4" s="198" t="s">
        <v>106</v>
      </c>
      <c r="C4" s="199"/>
      <c r="D4" s="199"/>
      <c r="E4" s="199"/>
      <c r="F4" s="199"/>
      <c r="G4" s="199"/>
      <c r="H4" s="199"/>
      <c r="I4" s="199"/>
      <c r="J4" s="199"/>
      <c r="M4" s="126" t="s">
        <v>107</v>
      </c>
      <c r="N4" s="112"/>
      <c r="O4" s="112"/>
      <c r="P4" s="112"/>
      <c r="Q4" s="113"/>
    </row>
    <row r="5" spans="1:17" s="8" customFormat="1" ht="24" customHeight="1" thickBot="1" x14ac:dyDescent="0.35">
      <c r="B5" s="212" t="s">
        <v>108</v>
      </c>
      <c r="C5" s="213"/>
      <c r="D5" s="213"/>
      <c r="E5" s="213"/>
      <c r="F5" s="213"/>
      <c r="G5" s="214"/>
      <c r="H5" s="202" t="s">
        <v>109</v>
      </c>
      <c r="I5" s="203"/>
      <c r="J5" s="67">
        <f>(True_Positive+True_Negative)/(True_Positive+True_Negative+False_Positive+False_Negative)</f>
        <v>0.77500000000000002</v>
      </c>
      <c r="M5" s="239" t="s">
        <v>110</v>
      </c>
      <c r="N5" s="240"/>
      <c r="O5" s="241"/>
      <c r="P5" s="251">
        <v>1200000</v>
      </c>
      <c r="Q5" s="252"/>
    </row>
    <row r="6" spans="1:17" s="8" customFormat="1" ht="24" customHeight="1" x14ac:dyDescent="0.3">
      <c r="B6" s="206" t="s">
        <v>111</v>
      </c>
      <c r="C6" s="207"/>
      <c r="D6" s="88">
        <f>COUNTIFS(Data[Predicted Final],"Yes", Data[Canceled],"Yes")</f>
        <v>49</v>
      </c>
      <c r="E6" s="210" t="s">
        <v>112</v>
      </c>
      <c r="F6" s="207"/>
      <c r="G6" s="89">
        <f>COUNTIFS(Data[Predicted Final],"Yes", Data[Canceled],"No")</f>
        <v>19</v>
      </c>
      <c r="H6" s="204" t="s">
        <v>113</v>
      </c>
      <c r="I6" s="205"/>
      <c r="J6" s="69">
        <f>True_Positive/(True_Positive+False_Negative)</f>
        <v>0.65333333333333332</v>
      </c>
      <c r="M6" s="242" t="s">
        <v>17</v>
      </c>
      <c r="N6" s="243"/>
      <c r="O6" s="244"/>
      <c r="P6" s="215">
        <v>12</v>
      </c>
      <c r="Q6" s="216"/>
    </row>
    <row r="7" spans="1:17" s="8" customFormat="1" ht="24" customHeight="1" thickBot="1" x14ac:dyDescent="0.35">
      <c r="B7" s="208" t="s">
        <v>114</v>
      </c>
      <c r="C7" s="209"/>
      <c r="D7" s="68">
        <f>COUNTIFS(Data[Predicted Final],"No", Data[Canceled],"No")</f>
        <v>106</v>
      </c>
      <c r="E7" s="211" t="s">
        <v>115</v>
      </c>
      <c r="F7" s="209"/>
      <c r="G7" s="72">
        <f>COUNTIFS(Data[Predicted Final],"No", Data[Canceled],"Yes")</f>
        <v>26</v>
      </c>
      <c r="H7" s="225" t="s">
        <v>116</v>
      </c>
      <c r="I7" s="226"/>
      <c r="J7" s="70">
        <f>True_Negative/(True_Negative+False_Positive)</f>
        <v>0.84799999999999998</v>
      </c>
      <c r="M7" s="242" t="s">
        <v>18</v>
      </c>
      <c r="N7" s="243"/>
      <c r="O7" s="244"/>
      <c r="P7" s="215">
        <v>10</v>
      </c>
      <c r="Q7" s="216"/>
    </row>
    <row r="8" spans="1:17" ht="24" customHeight="1" thickBot="1" x14ac:dyDescent="0.35">
      <c r="A8" s="8"/>
      <c r="B8" s="227" t="s">
        <v>130</v>
      </c>
      <c r="C8" s="228"/>
      <c r="D8" s="228"/>
      <c r="E8" s="228"/>
      <c r="F8" s="228"/>
      <c r="G8" s="228"/>
      <c r="H8" s="229"/>
      <c r="I8" s="200">
        <f>COUNTIFS(Data[Canceled],"Yes")/COUNTA(Data[Canceled])</f>
        <v>0.375</v>
      </c>
      <c r="J8" s="201"/>
      <c r="M8" s="242" t="s">
        <v>19</v>
      </c>
      <c r="N8" s="243"/>
      <c r="O8" s="244"/>
      <c r="P8" s="215">
        <v>25</v>
      </c>
      <c r="Q8" s="216"/>
    </row>
    <row r="9" spans="1:17" ht="21.6" customHeight="1" x14ac:dyDescent="0.3">
      <c r="A9" s="8"/>
      <c r="B9" s="230" t="s">
        <v>117</v>
      </c>
      <c r="C9" s="231"/>
      <c r="D9" s="231"/>
      <c r="E9" s="231"/>
      <c r="F9" s="231"/>
      <c r="G9" s="231"/>
      <c r="H9" s="231"/>
      <c r="I9" s="231"/>
      <c r="J9" s="232"/>
      <c r="M9" s="242" t="s">
        <v>20</v>
      </c>
      <c r="N9" s="243"/>
      <c r="O9" s="244"/>
      <c r="P9" s="215" t="s">
        <v>32</v>
      </c>
      <c r="Q9" s="216"/>
    </row>
    <row r="10" spans="1:17" ht="21.6" customHeight="1" thickBot="1" x14ac:dyDescent="0.35">
      <c r="A10" s="8"/>
      <c r="B10" s="233"/>
      <c r="C10" s="234"/>
      <c r="D10" s="234"/>
      <c r="E10" s="234"/>
      <c r="F10" s="234"/>
      <c r="G10" s="234"/>
      <c r="H10" s="234"/>
      <c r="I10" s="234"/>
      <c r="J10" s="235"/>
      <c r="K10" s="10"/>
      <c r="L10" s="10"/>
      <c r="M10" s="245" t="s">
        <v>21</v>
      </c>
      <c r="N10" s="246"/>
      <c r="O10" s="247"/>
      <c r="P10" s="217" t="s">
        <v>30</v>
      </c>
      <c r="Q10" s="218"/>
    </row>
    <row r="11" spans="1:17" ht="21.6" customHeight="1" x14ac:dyDescent="0.3">
      <c r="A11" s="8"/>
      <c r="B11" s="233"/>
      <c r="C11" s="234"/>
      <c r="D11" s="234"/>
      <c r="E11" s="234"/>
      <c r="F11" s="234"/>
      <c r="G11" s="234"/>
      <c r="H11" s="234"/>
      <c r="I11" s="234"/>
      <c r="J11" s="235"/>
      <c r="K11" s="10"/>
      <c r="L11" s="10"/>
      <c r="M11" s="248" t="s">
        <v>118</v>
      </c>
      <c r="N11" s="140"/>
      <c r="O11" s="140"/>
      <c r="P11" s="219" t="str" cm="1">
        <f t="array" ref="P11">IF(IF(
  IF(root_pred="Budget", Bud&lt;=VALUE(root_thresh),
  IF(root_pred="Planned Duration", Dur&lt;=VALUE(root_thresh),
  IF(root_pred="Team Size", Size&lt;=VALUE(root_thresh),
  IF(root_pred="Schedule Overage", Sched&lt;=VALUE(root_thresh),
  IF(root_pred="Key Staff Turnover", Turn=root_thresh,
  IF(root_pred="Project Type", Type=root_thresh, FALSE)))))),
  IF(left_pred="",
     Decisions!J8,
     IF(
       IF(left_pred="Budget", Bud&lt;=VALUE(left_thresh),
       IF(left_pred="Planned Duration", Dur&lt;=VALUE(left_thresh),
       IF(left_pred="Team Size", Size&lt;=VALUE(left_thresh),
       IF(left_pred="Schedule Overage", Sched&lt;=VALUE(left_thresh),
       IF(left_pred="Key Staff Turnover", Turn=left_thresh,
       IF(left_pred="Project Type", Type=left_thresh, FALSE)))))),
       Decisions!J11, Decisions!J12
     )
  ),
  IF(right_pred="",
     Decisions!J9,
     IF(
       IF(right_pred="Budget", Bud&lt;=VALUE(right_thresh),
       IF(right_pred="Planned Duration", Dur&lt;=VALUE(Right_Thr),
       IF(right_pred="Team Size", Size&lt;=VALUE(Right_Thr),
       IF(right_pred="Schedule Overage", Sched&lt;=VALUE(Right_Thr),
       IF(right_pred="Key Staff Turnover", Turn=Right_Thr,
       IF(right_pred="Project Type", Type=Right_Thr, FALSE)))))),
       Decisions!J14, Decisions!J15
     )
  )
)="Yes", "Canceled", "Not Canceled")</f>
        <v>Canceled</v>
      </c>
      <c r="Q11" s="220"/>
    </row>
    <row r="12" spans="1:17" ht="21.6" customHeight="1" thickBot="1" x14ac:dyDescent="0.35">
      <c r="A12" s="8"/>
      <c r="B12" s="236"/>
      <c r="C12" s="237"/>
      <c r="D12" s="237"/>
      <c r="E12" s="237"/>
      <c r="F12" s="237"/>
      <c r="G12" s="237"/>
      <c r="H12" s="237"/>
      <c r="I12" s="237"/>
      <c r="J12" s="238"/>
      <c r="K12" s="10"/>
      <c r="L12" s="10"/>
      <c r="M12" s="249" t="s">
        <v>119</v>
      </c>
      <c r="N12" s="250"/>
      <c r="O12" s="250"/>
      <c r="P12" s="221" cm="1">
        <f t="array" ref="P12">IF(
  IF(root_pred="Budget", Bud&lt;=VALUE(root_thresh),
  IF(root_pred="Planned Duration", Dur&lt;=VALUE(root_thresh),
  IF(root_pred="Team Size", Size&lt;=VALUE(root_thresh),
  IF(root_pred="Schedule Overage", Sched&lt;=VALUE(root_thresh),
  IF(root_pred="Key Staff Turnover", Turn=root_thresh,
  IF(root_pred="Project Type", Type=root_thresh, FALSE)))))),
  IF(left_pred="",
     Decisions!K8,
     IF(
       IF(left_pred="Budget", Bud&lt;=VALUE(left_thresh),
       IF(left_pred="Planned Duration", Dur&lt;=VALUE(left_thresh),
       IF(left_pred="Team Size", Size&lt;=VALUE(left_thresh),
       IF(left_pred="Schedule Overage", Sched&lt;=VALUE(left_thresh),
       IF(left_pred="Key Staff Turnover", Turn=left_thresh,
       IF(left_pred="Project Type", Type=left_thresh, FALSE)))))),
       Decisions!K11, Decisions!K12
     )
  ),
  IF(right_pred="",
     Decisions!K9,
     IF(
       IF(right_pred="Budget", Bud&lt;=VALUE(right_thresh),
       IF(right_pred="Planned Duration", Dur&lt;=VALUE(Right_Thr),
       IF(right_pred="Team Size", Size&lt;=VALUE(Right_Thr),
       IF(right_pred="Schedule Overage", Sched&lt;=VALUE(Right_Thr),
       IF(right_pred="Key Staff Turnover", Turn=Right_Thr,
       IF(right_pred="Project Type", Type=Right_Thr, FALSE)))))),
       Decisions!K14, Decisions!K15
     )
  )
)</f>
        <v>0.83783783783783783</v>
      </c>
      <c r="Q12" s="222"/>
    </row>
    <row r="13" spans="1:17" ht="18" customHeight="1" thickBot="1" x14ac:dyDescent="0.35">
      <c r="A13" s="8"/>
    </row>
    <row r="14" spans="1:17" ht="36.6" customHeight="1" thickBot="1" x14ac:dyDescent="0.35">
      <c r="A14" s="177" t="s">
        <v>120</v>
      </c>
      <c r="B14" s="178"/>
      <c r="C14" s="178"/>
      <c r="D14" s="178"/>
      <c r="E14" s="178"/>
      <c r="F14" s="178"/>
      <c r="G14" s="178"/>
      <c r="H14" s="178"/>
      <c r="I14" s="178"/>
      <c r="J14" s="178"/>
      <c r="K14" s="178"/>
      <c r="L14" s="178"/>
      <c r="M14" s="178"/>
      <c r="N14" s="178"/>
      <c r="O14" s="178"/>
      <c r="P14" s="178"/>
      <c r="Q14" s="179"/>
    </row>
    <row r="15" spans="1:17" ht="14.4" customHeight="1" x14ac:dyDescent="0.3">
      <c r="A15" s="74"/>
      <c r="P15" s="75"/>
      <c r="Q15" s="63"/>
    </row>
    <row r="16" spans="1:17" ht="14.4" customHeight="1" x14ac:dyDescent="0.3">
      <c r="A16" s="62"/>
      <c r="Q16" s="63"/>
    </row>
    <row r="17" spans="1:17" ht="14.4" customHeight="1" thickBot="1" x14ac:dyDescent="0.35">
      <c r="A17" s="62"/>
      <c r="I17" s="90" t="str">
        <f>"Baseline Risk: " &amp;ROUND(I8*100,0)&amp;"%"</f>
        <v>Baseline Risk: 38%</v>
      </c>
      <c r="Q17" s="63"/>
    </row>
    <row r="18" spans="1:17" ht="14.4" customHeight="1" x14ac:dyDescent="0.3">
      <c r="A18" s="62"/>
      <c r="H18" s="186" t="str">
        <f>IF(Active_Node="", "(Set ROOT split in Recorded)", "ROOT")</f>
        <v>ROOT</v>
      </c>
      <c r="I18" s="187"/>
      <c r="J18" s="188"/>
      <c r="Q18" s="63"/>
    </row>
    <row r="19" spans="1:17" ht="14.4" customHeight="1" thickBot="1" x14ac:dyDescent="0.35">
      <c r="A19" s="62"/>
      <c r="H19" s="189"/>
      <c r="I19" s="190"/>
      <c r="J19" s="191"/>
      <c r="Q19" s="63"/>
    </row>
    <row r="20" spans="1:17" ht="14.4" customHeight="1" x14ac:dyDescent="0.3">
      <c r="A20" s="62"/>
      <c r="G20" s="192" t="str">
        <f>IF(root_pred="","",
   "Split: " &amp;
   IF(OR(root_pred="Budget",root_pred="Planned Duration",root_pred="Team Size",root_pred="Schedule Overage"),
      root_pred &amp; " ≤ " &amp; TEXT(root_thresh,"0"),
      root_pred &amp; " = " &amp; root_thresh
   )
)</f>
        <v>Split: Key Staff Turnover = Yes</v>
      </c>
      <c r="H20" s="193"/>
      <c r="I20" s="193"/>
      <c r="J20" s="193"/>
      <c r="K20" s="194"/>
      <c r="Q20" s="63"/>
    </row>
    <row r="21" spans="1:17" ht="14.4" customHeight="1" thickBot="1" x14ac:dyDescent="0.35">
      <c r="A21" s="62"/>
      <c r="G21" s="195"/>
      <c r="H21" s="196"/>
      <c r="I21" s="196"/>
      <c r="J21" s="196"/>
      <c r="K21" s="197"/>
      <c r="Q21" s="63"/>
    </row>
    <row r="22" spans="1:17" ht="14.4" customHeight="1" x14ac:dyDescent="0.3">
      <c r="A22" s="62"/>
      <c r="Q22" s="63"/>
    </row>
    <row r="23" spans="1:17" ht="22.95" customHeight="1" x14ac:dyDescent="0.3">
      <c r="A23" s="62"/>
      <c r="G23" s="79" t="s">
        <v>121</v>
      </c>
      <c r="K23" s="79" t="s">
        <v>122</v>
      </c>
      <c r="Q23" s="63"/>
    </row>
    <row r="24" spans="1:17" ht="14.4" customHeight="1" thickBot="1" x14ac:dyDescent="0.35">
      <c r="A24" s="62"/>
      <c r="G24" s="1"/>
      <c r="H24" s="1"/>
      <c r="I24" s="1"/>
      <c r="N24" s="1"/>
      <c r="Q24" s="63"/>
    </row>
    <row r="25" spans="1:17" ht="14.4" customHeight="1" x14ac:dyDescent="0.3">
      <c r="A25" s="62"/>
      <c r="E25" s="156" t="s">
        <v>123</v>
      </c>
      <c r="F25" s="162"/>
      <c r="L25" s="156" t="s">
        <v>124</v>
      </c>
      <c r="M25" s="157"/>
      <c r="Q25" s="63"/>
    </row>
    <row r="26" spans="1:17" ht="14.4" customHeight="1" x14ac:dyDescent="0.3">
      <c r="A26" s="62"/>
      <c r="D26" s="90" t="str">
        <f>"Risk: " &amp;ROUND(Decisions!K8*100,0)&amp;"%"</f>
        <v>Risk: 67%</v>
      </c>
      <c r="E26" s="158"/>
      <c r="F26" s="163"/>
      <c r="L26" s="158"/>
      <c r="M26" s="159"/>
      <c r="N26" s="90" t="str">
        <f>"Risk: " &amp;ROUND(Decisions!K9*100,0)&amp;"%"</f>
        <v>Risk: 24%</v>
      </c>
      <c r="Q26" s="63"/>
    </row>
    <row r="27" spans="1:17" ht="14.4" customHeight="1" thickBot="1" x14ac:dyDescent="0.35">
      <c r="A27" s="62"/>
      <c r="E27" s="160"/>
      <c r="F27" s="164"/>
      <c r="L27" s="160"/>
      <c r="M27" s="161"/>
      <c r="Q27" s="63"/>
    </row>
    <row r="28" spans="1:17" ht="14.4" customHeight="1" x14ac:dyDescent="0.3">
      <c r="A28" s="62"/>
      <c r="D28" s="150" t="str">
        <f>IF(left_pred="","No second-level split (use majority: "&amp;Decisions!$J$8&amp;")","Split: "&amp;IF(OR(left_pred="Budget",left_pred="Planned Duration",left_pred="Team Size",left_pred="Schedule Overage"),left_pred&amp;" ≤ "&amp;TEXT(left_thresh,"0"),left_pred&amp;" = "&amp;left_thresh))</f>
        <v>Split: Planned Duration ≤ 13</v>
      </c>
      <c r="E28" s="151"/>
      <c r="F28" s="151"/>
      <c r="G28" s="152"/>
      <c r="K28" s="165" t="str">
        <f>IF(right_pred="","No second-level split (use majority: "&amp;Decisions!$J$9&amp;")","Split: "&amp;IF(OR(right_pred="Budget",right_pred="Planned Duration",right_pred="Team Size",right_pred="Schedule Overage"),right_pred&amp;" ≤ "&amp;TEXT(right_thresh,"0"),right_pred&amp;" = "&amp;right_thresh))</f>
        <v>Split: Budget ≤ 700000</v>
      </c>
      <c r="L28" s="166"/>
      <c r="M28" s="166"/>
      <c r="N28" s="167"/>
      <c r="Q28" s="63"/>
    </row>
    <row r="29" spans="1:17" ht="14.4" customHeight="1" thickBot="1" x14ac:dyDescent="0.35">
      <c r="A29" s="62"/>
      <c r="D29" s="153"/>
      <c r="E29" s="154"/>
      <c r="F29" s="154"/>
      <c r="G29" s="155"/>
      <c r="K29" s="168"/>
      <c r="L29" s="169"/>
      <c r="M29" s="169"/>
      <c r="N29" s="170"/>
      <c r="Q29" s="63"/>
    </row>
    <row r="30" spans="1:17" ht="14.4" customHeight="1" x14ac:dyDescent="0.3">
      <c r="A30" s="62"/>
      <c r="D30" s="78"/>
      <c r="E30" s="78"/>
      <c r="F30" s="78"/>
      <c r="G30" s="78"/>
      <c r="H30" s="78"/>
      <c r="I30" s="78"/>
      <c r="K30" s="78"/>
      <c r="L30" s="78"/>
      <c r="M30" s="78"/>
      <c r="N30" s="78"/>
      <c r="Q30" s="63"/>
    </row>
    <row r="31" spans="1:17" ht="21.6" customHeight="1" x14ac:dyDescent="0.7">
      <c r="A31" s="62"/>
      <c r="B31" s="80"/>
      <c r="C31" s="80"/>
      <c r="D31" s="81" t="s">
        <v>121</v>
      </c>
      <c r="E31" s="82"/>
      <c r="G31" s="81" t="s">
        <v>125</v>
      </c>
      <c r="H31" s="80"/>
      <c r="I31" s="80"/>
      <c r="J31" s="80"/>
      <c r="K31" s="81" t="s">
        <v>125</v>
      </c>
      <c r="L31" s="81"/>
      <c r="N31" s="81" t="s">
        <v>122</v>
      </c>
      <c r="O31" s="80"/>
      <c r="P31" s="80"/>
      <c r="Q31" s="63"/>
    </row>
    <row r="32" spans="1:17" ht="14.4" customHeight="1" thickBot="1" x14ac:dyDescent="0.75">
      <c r="A32" s="62"/>
      <c r="B32" s="80"/>
      <c r="C32" s="80"/>
      <c r="D32" s="81"/>
      <c r="E32" s="82"/>
      <c r="F32" s="81"/>
      <c r="G32" s="80"/>
      <c r="H32" s="80"/>
      <c r="I32" s="80"/>
      <c r="J32" s="80"/>
      <c r="K32" s="81"/>
      <c r="L32" s="81"/>
      <c r="N32" s="81"/>
      <c r="O32" s="80"/>
      <c r="P32" s="80"/>
      <c r="Q32" s="63"/>
    </row>
    <row r="33" spans="1:17" ht="14.4" customHeight="1" x14ac:dyDescent="0.3">
      <c r="A33" s="62"/>
      <c r="C33" s="144" t="s">
        <v>126</v>
      </c>
      <c r="D33" s="145"/>
      <c r="G33" s="144" t="s">
        <v>127</v>
      </c>
      <c r="H33" s="145"/>
      <c r="J33" s="144" t="s">
        <v>128</v>
      </c>
      <c r="K33" s="145"/>
      <c r="N33" s="144" t="s">
        <v>129</v>
      </c>
      <c r="O33" s="145"/>
      <c r="Q33" s="63"/>
    </row>
    <row r="34" spans="1:17" ht="14.4" customHeight="1" x14ac:dyDescent="0.3">
      <c r="A34" s="62"/>
      <c r="B34" s="90" t="str">
        <f>"Risk: " &amp;ROUND(Decisions!K11*100,0)&amp;"%"</f>
        <v>Risk: 84%</v>
      </c>
      <c r="C34" s="146"/>
      <c r="D34" s="147"/>
      <c r="F34" s="90" t="str">
        <f>"Risk: " &amp;ROUND(Decisions!K12*100,0)&amp;"%"</f>
        <v>Risk: 42%</v>
      </c>
      <c r="G34" s="146"/>
      <c r="H34" s="147"/>
      <c r="J34" s="146"/>
      <c r="K34" s="147"/>
      <c r="L34" s="90" t="str">
        <f>"Risk: " &amp;ROUND(Decisions!K14*100,0)&amp;"%"</f>
        <v>Risk: 58%</v>
      </c>
      <c r="N34" s="146"/>
      <c r="O34" s="147"/>
      <c r="P34" s="90" t="str">
        <f>"Risk: " &amp;ROUND(Decisions!K15*100,0)&amp;"%"</f>
        <v>Risk: 15%</v>
      </c>
      <c r="Q34" s="63"/>
    </row>
    <row r="35" spans="1:17" ht="14.4" customHeight="1" thickBot="1" x14ac:dyDescent="0.35">
      <c r="A35" s="62"/>
      <c r="C35" s="148"/>
      <c r="D35" s="149"/>
      <c r="G35" s="148"/>
      <c r="H35" s="149"/>
      <c r="J35" s="148"/>
      <c r="K35" s="149"/>
      <c r="N35" s="148"/>
      <c r="O35" s="149"/>
      <c r="P35" s="65"/>
      <c r="Q35" s="63"/>
    </row>
    <row r="36" spans="1:17" ht="14.4" customHeight="1" x14ac:dyDescent="0.3">
      <c r="A36" s="62"/>
      <c r="B36" s="180" t="str">
        <f>IF(left_pred="","No split (uses Root Left Majority)","Majority: "&amp;Decisions!$J$11&amp;" (Y="&amp;Decisions!$I$11&amp;", N="&amp;(Decisions!$H$11-Decisions!$I$11)&amp;")")</f>
        <v>Majority: Yes (Y=31, N=6)</v>
      </c>
      <c r="C36" s="181"/>
      <c r="D36" s="182"/>
      <c r="F36" s="171" t="str">
        <f>IF(left_pred="","No split (uses Root Left Majority)","Majority: "&amp;Decisions!$J$12&amp;" (Y="&amp;Decisions!$I$12&amp;", N="&amp;(Decisions!$H$12-Decisions!$I$12)&amp;")")</f>
        <v>Majority: No (Y=10, N=14)</v>
      </c>
      <c r="G36" s="172"/>
      <c r="H36" s="173"/>
      <c r="J36" s="180" t="str">
        <f>IF(right_pred="","No split (uses Root Right Majority)","Majority: "&amp;Decisions!$J$14&amp;" (Y="&amp;Decisions!$I$14&amp;", N="&amp;(Decisions!$H$14-Decisions!$I$14)&amp;")")</f>
        <v>Majority: Yes (Y=18, N=13)</v>
      </c>
      <c r="K36" s="181"/>
      <c r="L36" s="182"/>
      <c r="N36" s="171" t="str">
        <f>IF(right_pred="","No split (uses Root Right Majority)","Majority: "&amp;Decisions!$J$15&amp;" (Y="&amp;Decisions!$I$15&amp;", N="&amp;(Decisions!$H$15-Decisions!$I$15)&amp;")")</f>
        <v>Majority: No (Y=16, N=92)</v>
      </c>
      <c r="O36" s="172"/>
      <c r="P36" s="173"/>
      <c r="Q36" s="63"/>
    </row>
    <row r="37" spans="1:17" ht="14.4" customHeight="1" thickBot="1" x14ac:dyDescent="0.35">
      <c r="A37" s="62"/>
      <c r="B37" s="183"/>
      <c r="C37" s="184"/>
      <c r="D37" s="185"/>
      <c r="F37" s="174"/>
      <c r="G37" s="175"/>
      <c r="H37" s="176"/>
      <c r="J37" s="183"/>
      <c r="K37" s="184"/>
      <c r="L37" s="185"/>
      <c r="N37" s="174"/>
      <c r="O37" s="175"/>
      <c r="P37" s="176"/>
      <c r="Q37" s="63"/>
    </row>
    <row r="38" spans="1:17" ht="14.4" customHeight="1" x14ac:dyDescent="0.3">
      <c r="A38" s="62"/>
      <c r="B38" s="75"/>
      <c r="P38" s="75"/>
      <c r="Q38" s="63"/>
    </row>
    <row r="39" spans="1:17" ht="14.4" customHeight="1" thickBot="1" x14ac:dyDescent="0.35">
      <c r="A39" s="64"/>
      <c r="B39" s="65"/>
      <c r="C39" s="65"/>
      <c r="D39" s="65"/>
      <c r="E39" s="65"/>
      <c r="F39" s="65"/>
      <c r="G39" s="65"/>
      <c r="H39" s="65"/>
      <c r="I39" s="65"/>
      <c r="J39" s="65"/>
      <c r="K39" s="65"/>
      <c r="L39" s="65"/>
      <c r="M39" s="65"/>
      <c r="N39" s="65"/>
      <c r="O39" s="65"/>
      <c r="P39" s="65"/>
      <c r="Q39" s="66"/>
    </row>
    <row r="41" spans="1:17" ht="14.4" customHeight="1" x14ac:dyDescent="0.3">
      <c r="A41" s="2"/>
    </row>
    <row r="42" spans="1:17" ht="14.4" customHeight="1" x14ac:dyDescent="0.3">
      <c r="A42" s="2"/>
    </row>
    <row r="43" spans="1:17" ht="14.4" customHeight="1" x14ac:dyDescent="0.3">
      <c r="A43" s="2"/>
    </row>
    <row r="44" spans="1:17" ht="14.4" customHeight="1" x14ac:dyDescent="0.3">
      <c r="A44" s="2"/>
    </row>
    <row r="45" spans="1:17" ht="14.4" customHeight="1" x14ac:dyDescent="0.3">
      <c r="A45" s="2"/>
    </row>
    <row r="46" spans="1:17" ht="14.4" customHeight="1" x14ac:dyDescent="0.3">
      <c r="A46" s="2"/>
    </row>
  </sheetData>
  <mergeCells count="46">
    <mergeCell ref="P12:Q12"/>
    <mergeCell ref="F2:Q2"/>
    <mergeCell ref="H7:I7"/>
    <mergeCell ref="B8:H8"/>
    <mergeCell ref="B9:J12"/>
    <mergeCell ref="M4:Q4"/>
    <mergeCell ref="M5:O5"/>
    <mergeCell ref="M6:O6"/>
    <mergeCell ref="M7:O7"/>
    <mergeCell ref="M8:O8"/>
    <mergeCell ref="M9:O9"/>
    <mergeCell ref="M10:O10"/>
    <mergeCell ref="M11:O11"/>
    <mergeCell ref="M12:O12"/>
    <mergeCell ref="P5:Q5"/>
    <mergeCell ref="P6:Q6"/>
    <mergeCell ref="B5:G5"/>
    <mergeCell ref="P8:Q8"/>
    <mergeCell ref="P9:Q9"/>
    <mergeCell ref="P10:Q10"/>
    <mergeCell ref="P11:Q11"/>
    <mergeCell ref="P7:Q7"/>
    <mergeCell ref="N36:P37"/>
    <mergeCell ref="A14:Q14"/>
    <mergeCell ref="J33:K35"/>
    <mergeCell ref="J36:L37"/>
    <mergeCell ref="H18:J19"/>
    <mergeCell ref="G20:K21"/>
    <mergeCell ref="B36:D37"/>
    <mergeCell ref="F36:H37"/>
    <mergeCell ref="A1:Q1"/>
    <mergeCell ref="N33:O35"/>
    <mergeCell ref="D28:G29"/>
    <mergeCell ref="L25:M27"/>
    <mergeCell ref="E25:F27"/>
    <mergeCell ref="K28:N29"/>
    <mergeCell ref="C33:D35"/>
    <mergeCell ref="G33:H35"/>
    <mergeCell ref="B4:J4"/>
    <mergeCell ref="I8:J8"/>
    <mergeCell ref="H5:I5"/>
    <mergeCell ref="H6:I6"/>
    <mergeCell ref="B6:C6"/>
    <mergeCell ref="B7:C7"/>
    <mergeCell ref="E6:F6"/>
    <mergeCell ref="E7:F7"/>
  </mergeCells>
  <pageMargins left="0.75" right="0.75" top="1" bottom="1" header="0.5" footer="0.5"/>
  <drawing r:id="rId1"/>
  <extLst>
    <ext xmlns:x14="http://schemas.microsoft.com/office/spreadsheetml/2009/9/main" uri="{CCE6A557-97BC-4b89-ADB6-D9C93CAAB3DF}">
      <x14:dataValidations xmlns:xm="http://schemas.microsoft.com/office/excel/2006/main" count="2">
        <x14:dataValidation type="list" allowBlank="1" showInputMessage="1" showErrorMessage="1" xr:uid="{D032DC13-3834-43DD-9B6C-95F3E19F3264}">
          <x14:formula1>
            <xm:f>Data!$G$15:$G$214</xm:f>
          </x14:formula1>
          <xm:sqref>P10</xm:sqref>
        </x14:dataValidation>
        <x14:dataValidation type="list" allowBlank="1" showInputMessage="1" showErrorMessage="1" xr:uid="{4302B130-180E-4B3D-9137-ED41E9441840}">
          <x14:formula1>
            <xm:f>Data!$F$15:$F$214</xm:f>
          </x14:formula1>
          <xm:sqref>P9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DF3FC5AAD669145B8AC5E155E8CBF0A" ma:contentTypeVersion="13" ma:contentTypeDescription="Create a new document." ma:contentTypeScope="" ma:versionID="11dce0fc4010c7fe83fc097bde37492e">
  <xsd:schema xmlns:xsd="http://www.w3.org/2001/XMLSchema" xmlns:xs="http://www.w3.org/2001/XMLSchema" xmlns:p="http://schemas.microsoft.com/office/2006/metadata/properties" xmlns:ns2="a216b0c8-fcd5-406e-8079-2a7ae6586a16" xmlns:ns3="b09fcf71-427c-4934-afce-319b36348280" targetNamespace="http://schemas.microsoft.com/office/2006/metadata/properties" ma:root="true" ma:fieldsID="0bad80d0d4e2e18b61705d3b3d71f29b" ns2:_="" ns3:_="">
    <xsd:import namespace="a216b0c8-fcd5-406e-8079-2a7ae6586a16"/>
    <xsd:import namespace="b09fcf71-427c-4934-afce-319b36348280"/>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216b0c8-fcd5-406e-8079-2a7ae6586a1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cf54bde2-7ae1-46a6-9cca-9d61fbebac43"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09fcf71-427c-4934-afce-319b36348280"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28fd136d-6001-4d17-98b3-7e03af142356}" ma:internalName="TaxCatchAll" ma:showField="CatchAllData" ma:web="b09fcf71-427c-4934-afce-319b36348280">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216b0c8-fcd5-406e-8079-2a7ae6586a16">
      <Terms xmlns="http://schemas.microsoft.com/office/infopath/2007/PartnerControls"/>
    </lcf76f155ced4ddcb4097134ff3c332f>
    <TaxCatchAll xmlns="b09fcf71-427c-4934-afce-319b36348280" xsi:nil="true"/>
  </documentManagement>
</p:properties>
</file>

<file path=customXml/itemProps1.xml><?xml version="1.0" encoding="utf-8"?>
<ds:datastoreItem xmlns:ds="http://schemas.openxmlformats.org/officeDocument/2006/customXml" ds:itemID="{86F8D95F-C381-4E4E-965B-B13B302FA427}">
  <ds:schemaRefs>
    <ds:schemaRef ds:uri="http://schemas.microsoft.com/sharepoint/v3/contenttype/forms"/>
  </ds:schemaRefs>
</ds:datastoreItem>
</file>

<file path=customXml/itemProps2.xml><?xml version="1.0" encoding="utf-8"?>
<ds:datastoreItem xmlns:ds="http://schemas.openxmlformats.org/officeDocument/2006/customXml" ds:itemID="{45BD4E17-0469-4834-9F7E-213CBEC2410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216b0c8-fcd5-406e-8079-2a7ae6586a16"/>
    <ds:schemaRef ds:uri="b09fcf71-427c-4934-afce-319b3634828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00707B9-F68A-43E1-9103-E8BA2ED2FE42}">
  <ds:schemaRefs>
    <ds:schemaRef ds:uri="http://schemas.microsoft.com/office/2006/metadata/properties"/>
    <ds:schemaRef ds:uri="http://schemas.microsoft.com/office/infopath/2007/PartnerControls"/>
    <ds:schemaRef ds:uri="a216b0c8-fcd5-406e-8079-2a7ae6586a16"/>
    <ds:schemaRef ds:uri="b09fcf71-427c-4934-afce-319b3634828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31</vt:i4>
      </vt:variant>
    </vt:vector>
  </HeadingPairs>
  <TitlesOfParts>
    <vt:vector size="35" baseType="lpstr">
      <vt:lpstr>Data</vt:lpstr>
      <vt:lpstr>Analysis</vt:lpstr>
      <vt:lpstr>Decisions</vt:lpstr>
      <vt:lpstr>Evaluation</vt:lpstr>
      <vt:lpstr>Active_Node</vt:lpstr>
      <vt:lpstr>Best_Predictor</vt:lpstr>
      <vt:lpstr>Best_Spec_Category</vt:lpstr>
      <vt:lpstr>Best_Threshold</vt:lpstr>
      <vt:lpstr>Bud</vt:lpstr>
      <vt:lpstr>Child_Node_Metrics__live_for_first_split</vt:lpstr>
      <vt:lpstr>Dur</vt:lpstr>
      <vt:lpstr>False_Negative</vt:lpstr>
      <vt:lpstr>False_Positive</vt:lpstr>
      <vt:lpstr>GiniParent</vt:lpstr>
      <vt:lpstr>Left_Majority</vt:lpstr>
      <vt:lpstr>Left_N</vt:lpstr>
      <vt:lpstr>left_pred</vt:lpstr>
      <vt:lpstr>left_thresh</vt:lpstr>
      <vt:lpstr>Left_Y</vt:lpstr>
      <vt:lpstr>Np</vt:lpstr>
      <vt:lpstr>Np_Yes</vt:lpstr>
      <vt:lpstr>Right_Majority</vt:lpstr>
      <vt:lpstr>Right_N</vt:lpstr>
      <vt:lpstr>right_pred</vt:lpstr>
      <vt:lpstr>right_thresh</vt:lpstr>
      <vt:lpstr>Right_Y</vt:lpstr>
      <vt:lpstr>Root</vt:lpstr>
      <vt:lpstr>root_pred</vt:lpstr>
      <vt:lpstr>root_thresh</vt:lpstr>
      <vt:lpstr>Sched</vt:lpstr>
      <vt:lpstr>Size</vt:lpstr>
      <vt:lpstr>True_Negative</vt:lpstr>
      <vt:lpstr>True_Positive</vt:lpstr>
      <vt:lpstr>Turn</vt:lpstr>
      <vt:lpstr>Type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openpyxl</dc:creator>
  <cp:keywords/>
  <dc:description/>
  <cp:lastModifiedBy>Kathleen Schmidt</cp:lastModifiedBy>
  <cp:revision/>
  <dcterms:created xsi:type="dcterms:W3CDTF">2025-08-29T21:41:11Z</dcterms:created>
  <dcterms:modified xsi:type="dcterms:W3CDTF">2025-09-16T20:13:39Z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0x0101008DF3FC5AAD669145B8AC5E155E8CBF0A</vt:lpwstr>
  </property>
</Properties>
</file>